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C:\Users\hausmann\Desktop\"/>
    </mc:Choice>
  </mc:AlternateContent>
  <bookViews>
    <workbookView xWindow="0" yWindow="0" windowWidth="28800" windowHeight="13020" tabRatio="821"/>
  </bookViews>
  <sheets>
    <sheet name="Method and references" sheetId="14" r:id="rId1"/>
    <sheet name="Case results" sheetId="1" r:id="rId2"/>
    <sheet name="EF per step" sheetId="2" r:id="rId3"/>
    <sheet name="Data input and defaults" sheetId="3" r:id="rId4"/>
    <sheet name="Regional data" sheetId="7" r:id="rId5"/>
    <sheet name="1 - DRILLING AND BLASTING" sheetId="4" r:id="rId6"/>
    <sheet name="2 - MATERIAL PROCESSING" sheetId="5" r:id="rId7"/>
    <sheet name="3 - INTERNAL TRANSPORT" sheetId="6" r:id="rId8"/>
    <sheet name="4 - MATERIAL HANDLING OPERATION" sheetId="10" r:id="rId9"/>
    <sheet name="5 - STOCKPILES" sheetId="12" r:id="rId10"/>
  </sheets>
  <definedNames>
    <definedName name="AeroDyn_Factor_PM10_CR">'Data input and defaults'!$B$307</definedName>
    <definedName name="AeroDyn_Factor_PM10_RA">'Data input and defaults'!$D$307</definedName>
    <definedName name="AeroDyn_Factor_PM10_SG">'Data input and defaults'!$C$307</definedName>
    <definedName name="AeroDyn_Factor_PM2.5_CR">'Data input and defaults'!$B$308</definedName>
    <definedName name="AeroDyn_Factor_PM2.5_RA">'Data input and defaults'!$D$308</definedName>
    <definedName name="AeroDyn_Factor_PM2.5_SG">'Data input and defaults'!$C$308</definedName>
    <definedName name="AeroDyn_Factor_TSP_CR">'Data input and defaults'!$B$306</definedName>
    <definedName name="AeroDyn_Factor_TSP_RA">'Data input and defaults'!$D$306</definedName>
    <definedName name="AeroDyn_Factor_TSP_SG">'Data input and defaults'!$C$306</definedName>
    <definedName name="Angle_CR">'Data input and defaults'!$B$281</definedName>
    <definedName name="Angle_RA">'Data input and defaults'!$D$281</definedName>
    <definedName name="Angle_SG">'Data input and defaults'!$C$281</definedName>
    <definedName name="Coeff_wind_Erosion_CR">'Data input and defaults'!$B$305</definedName>
    <definedName name="Coeff_wind_Erosion_RA">'Data input and defaults'!$D$305</definedName>
    <definedName name="Coeff_wind_Erosion_SG">'Data input and defaults'!$C$305</definedName>
    <definedName name="Crush_Aba_DP_LQ_CR">'Data input and defaults'!$B$120</definedName>
    <definedName name="Crush_Aba_DP_LQ_RA">'Data input and defaults'!$D$120</definedName>
    <definedName name="Crush_Aba_DP_LQ_SG">'Data input and defaults'!$C$120</definedName>
    <definedName name="Crush_Aba_DP_MQ_CR">'Data input and defaults'!$B$125</definedName>
    <definedName name="Crush_Aba_DP_MQ_RA">'Data input and defaults'!$D$125</definedName>
    <definedName name="Crush_Aba_DP_MQ_SG">'Data input and defaults'!$C$125</definedName>
    <definedName name="Crush_Aba_DP_SQ_CR">'Data input and defaults'!$B$130</definedName>
    <definedName name="Crush_Aba_DP_SQ_RA">'Data input and defaults'!$D$130</definedName>
    <definedName name="Crush_Aba_DP_SQ_SG">'Data input and defaults'!$C$130</definedName>
    <definedName name="Crush_Aba_WP_LQ_CR">'Data input and defaults'!$B$180</definedName>
    <definedName name="Crush_Aba_WP_LQ_RA">'Data input and defaults'!$D$180</definedName>
    <definedName name="Crush_Aba_WP_LQ_SG">'Data input and defaults'!$C$180</definedName>
    <definedName name="Crush_Aba_WP_MQ_CR">'Data input and defaults'!$B$185</definedName>
    <definedName name="Crush_Aba_WP_MQ_RA">'Data input and defaults'!$D$185</definedName>
    <definedName name="Crush_Aba_WP_MQ_SG">'Data input and defaults'!$C$185</definedName>
    <definedName name="Crush_Aba_WP_SQ_CR">'Data input and defaults'!$B$190</definedName>
    <definedName name="Crush_Aba_WP_SQ_RA">'Data input and defaults'!$D$190</definedName>
    <definedName name="Crush_Aba_WP_SQ_SG">'Data input and defaults'!$C$190</definedName>
    <definedName name="Density">'Data input and defaults'!$B$35</definedName>
    <definedName name="Density_stockpiles_CR">'Data input and defaults'!$B$303</definedName>
    <definedName name="Density_stockpiles_RA">'Data input and defaults'!$D$303</definedName>
    <definedName name="Density_stockpiles_SG">'Data input and defaults'!$C$303</definedName>
    <definedName name="Dist_Proad_LQ_CR">'Data input and defaults'!$B$250</definedName>
    <definedName name="Dist_Proad_LQ_RA">'Data input and defaults'!$D$250</definedName>
    <definedName name="Dist_Proad_LQ_SG">'Data input and defaults'!$C$250</definedName>
    <definedName name="Dist_Proad_MQ_CR">'Data input and defaults'!$B$251</definedName>
    <definedName name="Dist_Proad_MQ_RA">'Data input and defaults'!$D$251</definedName>
    <definedName name="Dist_Proad_MQ_SG">'Data input and defaults'!$C$251</definedName>
    <definedName name="Dist_Proad_SQ_CR">'Data input and defaults'!$B$252</definedName>
    <definedName name="Dist_Proad_SQ_RA">'Data input and defaults'!$D$252</definedName>
    <definedName name="Dist_Proad_SQ_SG">'Data input and defaults'!$C$252</definedName>
    <definedName name="Dist_Uroad_LQ_CR">'Data input and defaults'!$B$246</definedName>
    <definedName name="Dist_Uroad_LQ_RA">'Data input and defaults'!$D$246</definedName>
    <definedName name="Dist_Uroad_LQ_SG">'Data input and defaults'!$C$246</definedName>
    <definedName name="Dist_Uroad_MQ_CR">'Data input and defaults'!$B$247</definedName>
    <definedName name="Dist_Uroad_MQ_RA">'Data input and defaults'!$D$247</definedName>
    <definedName name="Dist_Uroad_MQ_SG">'Data input and defaults'!$C$247</definedName>
    <definedName name="Dist_Uroad_SQ_CR">'Data input and defaults'!$B$248</definedName>
    <definedName name="Dist_Uroad_SQ_RA">'Data input and defaults'!$D$248</definedName>
    <definedName name="Dist_Uroad_SQ_SG">'Data input and defaults'!$C$248</definedName>
    <definedName name="_xlnm.Print_Area" localSheetId="5">'1 - DRILLING AND BLASTING'!$A$1:$E$36</definedName>
    <definedName name="_xlnm.Print_Area" localSheetId="6">'2 - MATERIAL PROCESSING'!$A$1:$H$73</definedName>
    <definedName name="_xlnm.Print_Area" localSheetId="7">'3 - INTERNAL TRANSPORT'!$A$1:$F$92</definedName>
    <definedName name="_xlnm.Print_Area" localSheetId="8">'4 - MATERIAL HANDLING OPERATION'!$A$1:$G$44</definedName>
    <definedName name="_xlnm.Print_Area" localSheetId="9">'5 - STOCKPILES'!$A$2:$F$58</definedName>
    <definedName name="_xlnm.Print_Area" localSheetId="1">'Case results'!$A$1:$P$69</definedName>
    <definedName name="_xlnm.Print_Area" localSheetId="3">'Data input and defaults'!$A$1:$F$310</definedName>
    <definedName name="_xlnm.Print_Area" localSheetId="2">'EF per step'!$A$1:$P$159</definedName>
    <definedName name="_xlnm.Print_Area" localSheetId="0">'Method and references'!$A$1:$G$123</definedName>
    <definedName name="_xlnm.Print_Titles" localSheetId="3">'Data input and defaults'!$1:$1</definedName>
    <definedName name="EF_Blasting_PM10">'Data input and defaults'!$B$49</definedName>
    <definedName name="EF_Blasting_PM2.5">'Data input and defaults'!$B$50</definedName>
    <definedName name="EF_Blasting_TSP">'Data input and defaults'!$B$48</definedName>
    <definedName name="EF_Crush_Dry_PM10_CR">'Data input and defaults'!$B$55</definedName>
    <definedName name="EF_Crush_Dry_PM10_RA">'Data input and defaults'!$D$55</definedName>
    <definedName name="EF_Crush_Dry_PM10_SG">'Data input and defaults'!$C$55</definedName>
    <definedName name="EF_Crush_Dry_PM2.5_CR">'Data input and defaults'!$B$56</definedName>
    <definedName name="EF_Crush_Dry_PM2.5_RA">'Data input and defaults'!$D$56</definedName>
    <definedName name="EF_Crush_Dry_PM2.5_SG">'Data input and defaults'!$C$56</definedName>
    <definedName name="EF_Crush_Dry_TSP_CR">'Data input and defaults'!$B$54</definedName>
    <definedName name="EF_Crush_Dry_TSP_RA">'Data input and defaults'!$D$54</definedName>
    <definedName name="EF_Crush_Dry_TSP_SG">'Data input and defaults'!$C$54</definedName>
    <definedName name="EF_Crush_Wet_PM10_CR">'Data input and defaults'!$B$59</definedName>
    <definedName name="EF_Crush_Wet_PM10_RA">'Data input and defaults'!$D$59</definedName>
    <definedName name="EF_Crush_Wet_PM10_SG">'Data input and defaults'!$C$59</definedName>
    <definedName name="EF_Crush_Wet_PM2.5_CR">'Data input and defaults'!$B$60</definedName>
    <definedName name="EF_Crush_Wet_PM2.5_RA">'Data input and defaults'!$D$60</definedName>
    <definedName name="EF_Crush_Wet_PM2.5_SG">'Data input and defaults'!$C$60</definedName>
    <definedName name="EF_Crush_Wet_TSP_CR">'Data input and defaults'!$B$58</definedName>
    <definedName name="EF_Crush_Wet_TSP_RA">'Data input and defaults'!$D$58</definedName>
    <definedName name="EF_Crush_Wet_TSP_SG">'Data input and defaults'!$C$58</definedName>
    <definedName name="EF_Drilling_PM10">'Data input and defaults'!$B$45</definedName>
    <definedName name="EF_Drilling_PM2.5">'Data input and defaults'!$B$46</definedName>
    <definedName name="EF_Drilling_TSP">'Data input and defaults'!$B$44</definedName>
    <definedName name="EF_PM10_Proad_CR">'Data input and defaults'!$B$267</definedName>
    <definedName name="EF_PM10_Proad_RA">'Data input and defaults'!$D$267</definedName>
    <definedName name="EF_PM10_Proad_SG">'Data input and defaults'!$C$267</definedName>
    <definedName name="EF_PM2.5_Proad_CR">'Data input and defaults'!$B$268</definedName>
    <definedName name="EF_PM2.5_Proad_RA">'Data input and defaults'!$D$268</definedName>
    <definedName name="EF_PM2.5_Proad_SG">'Data input and defaults'!$C$268</definedName>
    <definedName name="EF_Screen_Dry_PM10_CR">'Data input and defaults'!$B$63</definedName>
    <definedName name="EF_Screen_Dry_PM10_RA">'Data input and defaults'!$D$63</definedName>
    <definedName name="EF_Screen_Dry_PM10_SG">'Data input and defaults'!$C$63</definedName>
    <definedName name="EF_Screen_Dry_PM2.5_CR">'Data input and defaults'!$B$64</definedName>
    <definedName name="EF_Screen_Dry_PM2.5_RA">'Data input and defaults'!$D$64</definedName>
    <definedName name="EF_Screen_Dry_PM2.5_SG">'Data input and defaults'!$C$64</definedName>
    <definedName name="EF_Screen_Dry_TSP_CR">'Data input and defaults'!$B$62</definedName>
    <definedName name="EF_Screen_Dry_TSP_RA">'Data input and defaults'!$D$62</definedName>
    <definedName name="EF_Screen_Dry_TSP_SG">'Data input and defaults'!$C$62</definedName>
    <definedName name="EF_Screen_Wet_PM10_CR">'Data input and defaults'!$B$67</definedName>
    <definedName name="EF_Screen_Wet_PM10_RA">'Data input and defaults'!$D$67</definedName>
    <definedName name="EF_Screen_Wet_PM10_SG">'Data input and defaults'!$C$67</definedName>
    <definedName name="EF_Screen_Wet_PM2.5_CR">'Data input and defaults'!$B$68</definedName>
    <definedName name="EF_Screen_Wet_PM2.5_RA">'Data input and defaults'!$D$68</definedName>
    <definedName name="EF_Screen_Wet_PM2.5_SG">'Data input and defaults'!$C$68</definedName>
    <definedName name="EF_Screen_Wet_TSP_CR">'Data input and defaults'!$B$66</definedName>
    <definedName name="EF_Screen_Wet_TSP_RA">'Data input and defaults'!$D$66</definedName>
    <definedName name="EF_Screen_Wet_TSP_SG">'Data input and defaults'!$C$66</definedName>
    <definedName name="EF_TP_Dry_PM10_CR">'Data input and defaults'!$B$71</definedName>
    <definedName name="EF_TP_Dry_PM10_RA">'Data input and defaults'!$D$71</definedName>
    <definedName name="EF_TP_Dry_PM10_SG">'Data input and defaults'!$C$71</definedName>
    <definedName name="EF_TP_Dry_PM2.5_CR">'Data input and defaults'!$B$72</definedName>
    <definedName name="EF_TP_Dry_PM2.5_RA">'Data input and defaults'!$D$72</definedName>
    <definedName name="EF_TP_Dry_PM2.5_SG">'Data input and defaults'!$C$72</definedName>
    <definedName name="EF_TP_Dry_TSP_CR">'Data input and defaults'!$B$70</definedName>
    <definedName name="EF_TP_Dry_TSP_RA">'Data input and defaults'!$D$70</definedName>
    <definedName name="EF_TP_Dry_TSP_SG">'Data input and defaults'!$C$70</definedName>
    <definedName name="EF_TP_Wet_PM10_CR">'Data input and defaults'!$B$75</definedName>
    <definedName name="EF_TP_Wet_PM10_RA">'Data input and defaults'!$D$75</definedName>
    <definedName name="EF_TP_Wet_PM10_SG">'Data input and defaults'!$C$75</definedName>
    <definedName name="EF_TP_Wet_PM2.5_CR">'Data input and defaults'!$B$76</definedName>
    <definedName name="EF_TP_Wet_PM2.5_RA">'Data input and defaults'!$D$76</definedName>
    <definedName name="EF_TP_Wet_PM2.5_SG">'Data input and defaults'!$C$76</definedName>
    <definedName name="EF_TP_Wet_TSP_CR">'Data input and defaults'!$B$74</definedName>
    <definedName name="EF_TP_Wet_TSP_RA">'Data input and defaults'!$D$74</definedName>
    <definedName name="EF_TP_Wet_TSP_SG">'Data input and defaults'!$C$74</definedName>
    <definedName name="EF_TSP_Proad_CR">'Data input and defaults'!$B$266</definedName>
    <definedName name="EF_TSP_Proad_RA">'Data input and defaults'!$D$266</definedName>
    <definedName name="EF_TSP_Proad_SG">'Data input and defaults'!$C$266</definedName>
    <definedName name="Flow_P_Crush_CR">'Data input and defaults'!$B$86</definedName>
    <definedName name="Flow_P_Crush_RA">'Data input and defaults'!$D$86</definedName>
    <definedName name="Flow_P_Crush_SG">'Data input and defaults'!$C$86</definedName>
    <definedName name="Flow_P_Screen_CR">'Data input and defaults'!$B$87</definedName>
    <definedName name="Flow_P_Screen_RA">'Data input and defaults'!$D$87</definedName>
    <definedName name="Flow_P_Screen_SG">'Data input and defaults'!$C$87</definedName>
    <definedName name="Flow_P_TP_CR">'Data input and defaults'!$B$88</definedName>
    <definedName name="Flow_P_TP_RA">'Data input and defaults'!$D$88</definedName>
    <definedName name="Flow_P_TP_SG">'Data input and defaults'!$C$88</definedName>
    <definedName name="Flow_S_Crush_CR">'Data input and defaults'!$B$90</definedName>
    <definedName name="Flow_S_Crush_RA">'Data input and defaults'!$D$90</definedName>
    <definedName name="Flow_S_Crush_SG">'Data input and defaults'!$C$90</definedName>
    <definedName name="Flow_S_Screen_CR">'Data input and defaults'!$B$91</definedName>
    <definedName name="Flow_S_Screen_RA">'Data input and defaults'!$D$91</definedName>
    <definedName name="Flow_S_Screen_SG">'Data input and defaults'!$C$91</definedName>
    <definedName name="Flow_S_TP_CR">'Data input and defaults'!$B$92</definedName>
    <definedName name="Flow_S_TP_RA">'Data input and defaults'!$D$92</definedName>
    <definedName name="Flow_S_TP_SG">'Data input and defaults'!$C$92</definedName>
    <definedName name="Flow_T_Crush_CR">'Data input and defaults'!$B$94</definedName>
    <definedName name="Flow_T_Crush_RA">'Data input and defaults'!$D$94</definedName>
    <definedName name="Flow_T_Crush_SG">'Data input and defaults'!$C$94</definedName>
    <definedName name="Flow_T_Screen_CR">'Data input and defaults'!$B$95</definedName>
    <definedName name="Flow_T_Screen_RA">'Data input and defaults'!$D$95</definedName>
    <definedName name="Flow_T_Screen_SG">'Data input and defaults'!$C$95</definedName>
    <definedName name="Flow_T_TP_CR">'Data input and defaults'!$B$96</definedName>
    <definedName name="Flow_T_TP_RA">'Data input and defaults'!$D$96</definedName>
    <definedName name="Flow_T_TP_SG">'Data input and defaults'!$C$96</definedName>
    <definedName name="Handling_Const_EF_PM10_CR">'Data input and defaults'!$B$276</definedName>
    <definedName name="Handling_Const_EF_PM10_RA">'Data input and defaults'!$D$276</definedName>
    <definedName name="Handling_Const_EF_PM10_SG">'Data input and defaults'!$C$276</definedName>
    <definedName name="Handling_Const_EF_PM2.5_CR">'Data input and defaults'!$B$277</definedName>
    <definedName name="Handling_Const_EF_PM2.5_RA">'Data input and defaults'!$D$277</definedName>
    <definedName name="Handling_Const_EF_PM2.5_SG">'Data input and defaults'!$C$277</definedName>
    <definedName name="Handling_Const_EF_TSP_CR">'Data input and defaults'!$B$275</definedName>
    <definedName name="Handling_Const_EF_TSP_RA">'Data input and defaults'!$D$275</definedName>
    <definedName name="Handling_Const_EF_TSP_SG">'Data input and defaults'!$C$275</definedName>
    <definedName name="Hole_height">'Data input and defaults'!$B$34</definedName>
    <definedName name="Hole_surface">'Data input and defaults'!$B$33</definedName>
    <definedName name="Moisture_CR">'Data input and defaults'!$B$272</definedName>
    <definedName name="Moisture_RA">'Data input and defaults'!$D$272</definedName>
    <definedName name="Moisture_SG">'Data input and defaults'!$C$272</definedName>
    <definedName name="NB_Hand_Oper_CR">'Data input and defaults'!$B$273</definedName>
    <definedName name="NB_Hand_Oper_RA">'Data input and defaults'!$D$273</definedName>
    <definedName name="NB_Hand_Oper_SG">'Data input and defaults'!$C$273</definedName>
    <definedName name="NB_LQ_CR">'Data input and defaults'!$B$18</definedName>
    <definedName name="NB_LQ_RA">'Data input and defaults'!$D$18</definedName>
    <definedName name="NB_LQ_SG">'Data input and defaults'!$C$18</definedName>
    <definedName name="NB_MQ_CR">'Data input and defaults'!$B$19</definedName>
    <definedName name="NB_MQ_RA">'Data input and defaults'!$D$19</definedName>
    <definedName name="NB_MQ_SG">'Data input and defaults'!$C$19</definedName>
    <definedName name="NB_P_Unit_LQ_CR">'Data input and defaults'!$B$100</definedName>
    <definedName name="NB_P_Unit_LQ_RA">'Data input and defaults'!$D$100</definedName>
    <definedName name="NB_P_Unit_LQ_SG">'Data input and defaults'!$C$100</definedName>
    <definedName name="NB_P_Unit_MQ_CR">'Data input and defaults'!$B$104</definedName>
    <definedName name="NB_P_Unit_MQ_RA">'Data input and defaults'!$D$104</definedName>
    <definedName name="NB_P_Unit_MQ_SG">'Data input and defaults'!$C$104</definedName>
    <definedName name="NB_P_Unit_SQ_CR">'Data input and defaults'!$B$108</definedName>
    <definedName name="NB_P_Unit_SQ_RA">'Data input and defaults'!$D$108</definedName>
    <definedName name="NB_P_Unit_SQ_SG">'Data input and defaults'!$C$108</definedName>
    <definedName name="NB_S_Unit_LQ_CR">'Data input and defaults'!$B$101</definedName>
    <definedName name="NB_S_Unit_LQ_RA">'Data input and defaults'!$D$101</definedName>
    <definedName name="NB_S_Unit_LQ_SG">'Data input and defaults'!$C$101</definedName>
    <definedName name="NB_S_Unit_MQ_CR">'Data input and defaults'!$B$105</definedName>
    <definedName name="NB_S_Unit_MQ_RA">'Data input and defaults'!$D$105</definedName>
    <definedName name="NB_S_Unit_MQ_SG">'Data input and defaults'!$C$105</definedName>
    <definedName name="NB_S_Unit_SQ_CR">'Data input and defaults'!$B$109</definedName>
    <definedName name="NB_S_Unit_SQ_RA">'Data input and defaults'!$D$109</definedName>
    <definedName name="NB_S_Unit_SQ_SG">'Data input and defaults'!$C$109</definedName>
    <definedName name="NB_SQ_CR">'Data input and defaults'!$B$20</definedName>
    <definedName name="NB_SQ_RA">'Data input and defaults'!$D$20</definedName>
    <definedName name="NB_SQ_SG">'Data input and defaults'!$C$20</definedName>
    <definedName name="NB_Stockpiles_LQ_CR">'Data input and defaults'!$B$287</definedName>
    <definedName name="NB_Stockpiles_LQ_RA">'Data input and defaults'!$D$287</definedName>
    <definedName name="NB_Stockpiles_LQ_SG">'Data input and defaults'!$C$287</definedName>
    <definedName name="NB_Stockpiles_MQ_CR">'Data input and defaults'!$B$288</definedName>
    <definedName name="NB_Stockpiles_MQ_RA">'Data input and defaults'!$D$288</definedName>
    <definedName name="NB_Stockpiles_MQ_SG">'Data input and defaults'!$C$288</definedName>
    <definedName name="NB_Stockpiles_SQ_CR">'Data input and defaults'!$B$289</definedName>
    <definedName name="NB_Stockpiles_SQ_RA">'Data input and defaults'!$D$289</definedName>
    <definedName name="NB_Stockpiles_SQ_SG">'Data input and defaults'!$C$289</definedName>
    <definedName name="NB_T_Unit_LQ_CR">'Data input and defaults'!$B$102</definedName>
    <definedName name="NB_T_Unit_LQ_RA">'Data input and defaults'!$D$102</definedName>
    <definedName name="NB_T_Unit_LQ_SG">'Data input and defaults'!$C$102</definedName>
    <definedName name="NB_T_Unit_MQ_CR">'Data input and defaults'!$B$106</definedName>
    <definedName name="NB_T_Unit_MQ_RA">'Data input and defaults'!$D$106</definedName>
    <definedName name="NB_T_Unit_MQ_SG">'Data input and defaults'!$C$106</definedName>
    <definedName name="NB_T_Unit_SQ_CR">'Data input and defaults'!$B$110</definedName>
    <definedName name="NB_T_Unit_SQ_RA">'Data input and defaults'!$D$110</definedName>
    <definedName name="NB_T_Unit_SQ_SG">'Data input and defaults'!$C$110</definedName>
    <definedName name="Prod_CR">'Data input and defaults'!$B$4</definedName>
    <definedName name="Prod_RA">'Data input and defaults'!$D$4</definedName>
    <definedName name="Prod_SG">'Data input and defaults'!$C$4</definedName>
    <definedName name="Rwat_Eff_CR">'Data input and defaults'!$B$254</definedName>
    <definedName name="Rwat_Eff_RA">'Data input and defaults'!$D$254</definedName>
    <definedName name="Rwat_Eff_SG">'Data input and defaults'!$C$254</definedName>
    <definedName name="Rwat_Use_LQ_CR">'Data input and defaults'!$B$255</definedName>
    <definedName name="Rwat_Use_LQ_RA">'Data input and defaults'!$D$255</definedName>
    <definedName name="Rwat_Use_LQ_SG">'Data input and defaults'!$C$255</definedName>
    <definedName name="Rwat_Use_MQ_CR">'Data input and defaults'!$B$256</definedName>
    <definedName name="Rwat_Use_MQ_RA">'Data input and defaults'!$D$256</definedName>
    <definedName name="Rwat_Use_MQ_SG">'Data input and defaults'!$C$256</definedName>
    <definedName name="Rwat_Use_SQ_CR">'Data input and defaults'!$B$257</definedName>
    <definedName name="Rwat_Use_SQ_RA">'Data input and defaults'!$D$257</definedName>
    <definedName name="Rwat_Use_SQ_SG">'Data input and defaults'!$C$257</definedName>
    <definedName name="Screen_Aba_DP_LQ_CR">'Data input and defaults'!$B$140</definedName>
    <definedName name="Screen_Aba_DP_LQ_RA">'Data input and defaults'!$D$140</definedName>
    <definedName name="Screen_Aba_DP_LQ_SG">'Data input and defaults'!$C$140</definedName>
    <definedName name="Screen_Aba_DP_MQ_CR">'Data input and defaults'!$B$145</definedName>
    <definedName name="Screen_Aba_DP_MQ_RA">'Data input and defaults'!$D$145</definedName>
    <definedName name="Screen_Aba_DP_MQ_SG">'Data input and defaults'!$C$145</definedName>
    <definedName name="Screen_Aba_DP_SQ_CR">'Data input and defaults'!$B$150</definedName>
    <definedName name="Screen_Aba_DP_SQ_RA">'Data input and defaults'!$D$150</definedName>
    <definedName name="Screen_Aba_DP_SQ_SG">'Data input and defaults'!$C$150</definedName>
    <definedName name="Screen_Aba_WP_LQ_CR">'Data input and defaults'!$B$200</definedName>
    <definedName name="Screen_Aba_WP_LQ_RA">'Data input and defaults'!$D$200</definedName>
    <definedName name="Screen_Aba_WP_LQ_SG">'Data input and defaults'!$C$200</definedName>
    <definedName name="Screen_Aba_WP_MQ_CR">'Data input and defaults'!$B$205</definedName>
    <definedName name="Screen_Aba_WP_MQ_RA">'Data input and defaults'!$D$205</definedName>
    <definedName name="Screen_Aba_WP_MQ_SG">'Data input and defaults'!$C$205</definedName>
    <definedName name="Screen_Aba_WP_SQ_CR">'Data input and defaults'!$B$210</definedName>
    <definedName name="Screen_Aba_WP_SQ_RA">'Data input and defaults'!$D$210</definedName>
    <definedName name="Screen_Aba_WP_SQ_SG">'Data input and defaults'!$C$210</definedName>
    <definedName name="Silt_Content_Stockpiles_CR">'Data input and defaults'!$B$310</definedName>
    <definedName name="Silt_Content_Stockpiles_RA">'Data input and defaults'!$D$310</definedName>
    <definedName name="Silt_Content_Stockpiles_SG">'Data input and defaults'!$C$310</definedName>
    <definedName name="Size_dist_LQ_CR">'Data input and defaults'!$B$12</definedName>
    <definedName name="Size_dist_LQ_RA">'Data input and defaults'!$D$12</definedName>
    <definedName name="Size_dist_LQ_SG">'Data input and defaults'!$C$12</definedName>
    <definedName name="Size_dist_MQ_CR">'Data input and defaults'!$B$13</definedName>
    <definedName name="Size_dist_MQ_RA">'Data input and defaults'!$D$13</definedName>
    <definedName name="Size_dist_MQ_SG">'Data input and defaults'!$C$13</definedName>
    <definedName name="Size_dist_SQ_CR">'Data input and defaults'!$B$14</definedName>
    <definedName name="Size_dist_SQ_RA">'Data input and defaults'!$D$14</definedName>
    <definedName name="Size_dist_SQ_SG">'Data input and defaults'!$C$14</definedName>
    <definedName name="Std_Prod_LQ_CR">'Data input and defaults'!$B$7</definedName>
    <definedName name="Std_Prod_LQ_RA">'Data input and defaults'!$D$7</definedName>
    <definedName name="Std_Prod_LQ_SG">'Data input and defaults'!$C$7</definedName>
    <definedName name="Std_Prod_MQ_CR">'Data input and defaults'!$B$8</definedName>
    <definedName name="Std_Prod_MQ_RA">'Data input and defaults'!$D$8</definedName>
    <definedName name="Std_Prod_MQ_SG">'Data input and defaults'!$C$8</definedName>
    <definedName name="Std_Prod_SQ_CR">'Data input and defaults'!$B$9</definedName>
    <definedName name="Std_Prod_SQ_RA">'Data input and defaults'!$D$9</definedName>
    <definedName name="Std_Prod_SQ_SG">'Data input and defaults'!$C$9</definedName>
    <definedName name="Std_Surf_LQ_CR">'Data input and defaults'!$B$299</definedName>
    <definedName name="Std_Surf_LQ_RA">'Data input and defaults'!$D$299</definedName>
    <definedName name="Std_Surf_LQ_SG">'Data input and defaults'!$C$299</definedName>
    <definedName name="Std_Surf_MQ_CR">'Data input and defaults'!$B$300</definedName>
    <definedName name="Std_Surf_MQ_RA">'Data input and defaults'!$D$300</definedName>
    <definedName name="Std_Surf_MQ_SG">'Data input and defaults'!$C$300</definedName>
    <definedName name="Std_Surf_SQ_CR">'Data input and defaults'!$B$301</definedName>
    <definedName name="Std_Surf_SQ_RA">'Data input and defaults'!$D$301</definedName>
    <definedName name="Std_Surf_SQ_SG">'Data input and defaults'!$C$301</definedName>
    <definedName name="Stockpile_H_LQ_CR">'Data input and defaults'!$B$290</definedName>
    <definedName name="Stockpile_H_LQ_RA">'Data input and defaults'!$D$290</definedName>
    <definedName name="Stockpile_H_LQ_SG">'Data input and defaults'!$C$290</definedName>
    <definedName name="Stockpile_H_MQ_CR">'Data input and defaults'!$B$291</definedName>
    <definedName name="Stockpile_H_MQ_RA">'Data input and defaults'!$D$291</definedName>
    <definedName name="Stockpile_H_MQ_SG">'Data input and defaults'!$C$291</definedName>
    <definedName name="Stockpile_H_SQ_CR">'Data input and defaults'!$B$292</definedName>
    <definedName name="Stockpile_H_SQ_RA">'Data input and defaults'!$D$292</definedName>
    <definedName name="Stockpile_H_SQ_SG">'Data input and defaults'!$C$292</definedName>
    <definedName name="Stockpile_V_LQ_CR">'Data input and defaults'!$B$296</definedName>
    <definedName name="Stockpile_V_LQ_RA">'Data input and defaults'!$D$296</definedName>
    <definedName name="Stockpile_V_LQ_SG">'Data input and defaults'!$C$296</definedName>
    <definedName name="Stockpile_V_MQ_CR">'Data input and defaults'!$B$297</definedName>
    <definedName name="Stockpile_V_MQ_RA">'Data input and defaults'!$D$297</definedName>
    <definedName name="Stockpile_V_MQ_SG">'Data input and defaults'!$C$297</definedName>
    <definedName name="Stockpile_V_SQ_CR">'Data input and defaults'!$B$298</definedName>
    <definedName name="Stockpile_V_SQ_RA">'Data input and defaults'!$D$298</definedName>
    <definedName name="Stockpile_V_SQ_SG">'Data input and defaults'!$C$298</definedName>
    <definedName name="Surf_Mat_Silt_PR_CR">'Data input and defaults'!$B$264</definedName>
    <definedName name="Surf_Mat_Silt_PR_RA">'Data input and defaults'!$D$264</definedName>
    <definedName name="Surf_Mat_Silt_PR_SG">'Data input and defaults'!$C$264</definedName>
    <definedName name="Surf_Mat_Silt_UR_CR">'Data input and defaults'!$B$263</definedName>
    <definedName name="Surf_Mat_Silt_UR_RA">'Data input and defaults'!$D$263</definedName>
    <definedName name="Surf_Mat_Silt_UR_SG">'Data input and defaults'!$C$263</definedName>
    <definedName name="TP_Aba_DP_LQ_CR">'Data input and defaults'!$B$160</definedName>
    <definedName name="TP_Aba_DP_LQ_RA">'Data input and defaults'!$D$160</definedName>
    <definedName name="TP_Aba_DP_LQ_SG">'Data input and defaults'!$C$160</definedName>
    <definedName name="TP_Aba_DP_MQ_CR">'Data input and defaults'!$B$165</definedName>
    <definedName name="TP_Aba_DP_MQ_RA">'Data input and defaults'!$D$165</definedName>
    <definedName name="TP_Aba_DP_MQ_SG">'Data input and defaults'!$C$165</definedName>
    <definedName name="TP_Aba_DP_SQ_CR">'Data input and defaults'!$B$170</definedName>
    <definedName name="TP_Aba_DP_SQ_RA">'Data input and defaults'!$D$170</definedName>
    <definedName name="TP_Aba_DP_SQ_SG">'Data input and defaults'!$C$170</definedName>
    <definedName name="TP_Aba_WP_LQ_CR">'Data input and defaults'!$B$220</definedName>
    <definedName name="TP_Aba_WP_LQ_RA">'Data input and defaults'!$D$220</definedName>
    <definedName name="TP_Aba_WP_LQ_SG">'Data input and defaults'!$C$220</definedName>
    <definedName name="TP_Aba_WP_MQ_CR">'Data input and defaults'!$B$225</definedName>
    <definedName name="TP_Aba_WP_MQ_RA">'Data input and defaults'!$D$225</definedName>
    <definedName name="TP_Aba_WP_MQ_SG">'Data input and defaults'!$C$225</definedName>
    <definedName name="TP_Aba_WP_SQ_CR">'Data input and defaults'!$B$230</definedName>
    <definedName name="TP_Aba_WP_SQ_RA">'Data input and defaults'!$D$230</definedName>
    <definedName name="TP_Aba_WP_SQ_SG">'Data input and defaults'!$C$230</definedName>
    <definedName name="Veh_W_LQ_CR">'Data input and defaults'!$B$259</definedName>
    <definedName name="Veh_W_LQ_RA">'Data input and defaults'!$D$259</definedName>
    <definedName name="Veh_W_LQ_SG">'Data input and defaults'!$C$259</definedName>
    <definedName name="Veh_W_MQ_CR">'Data input and defaults'!$B$260</definedName>
    <definedName name="Veh_W_MQ_RA">'Data input and defaults'!$D$260</definedName>
    <definedName name="Veh_W_MQ_SG">'Data input and defaults'!$C$260</definedName>
    <definedName name="Veh_W_SQ_CR">'Data input and defaults'!$B$261</definedName>
    <definedName name="Veh_W_SQ_RA">'Data input and defaults'!$D$261</definedName>
    <definedName name="Veh_W_SQ_SG">'Data input and defaults'!$C$261</definedName>
    <definedName name="Weeks_stored_LQ_CR">'Data input and defaults'!$B$283</definedName>
    <definedName name="Weeks_stored_LQ_RA">'Data input and defaults'!$D$283</definedName>
    <definedName name="Weeks_stored_LQ_SG">'Data input and defaults'!$C$283</definedName>
    <definedName name="Weeks_stored_MQ_CR">'Data input and defaults'!$B$284</definedName>
    <definedName name="Weeks_stored_MQ_RA">'Data input and defaults'!$D$284</definedName>
    <definedName name="Weeks_stored_MQ_SG">'Data input and defaults'!$C$284</definedName>
    <definedName name="Weeks_stored_SQ_CR">'Data input and defaults'!$B$285</definedName>
    <definedName name="Weeks_stored_SQ_RA">'Data input and defaults'!$D$285</definedName>
    <definedName name="Weeks_stored_SQ_SG">'Data input and defaults'!$C$285</definedName>
    <definedName name="Wet_Proc_perc_LQ_CR">'Data input and defaults'!$B$78</definedName>
    <definedName name="Wet_Proc_perc_LQ_RA">'Data input and defaults'!$D$78</definedName>
    <definedName name="Wet_Proc_perc_LQ_SG">'Data input and defaults'!$C$78</definedName>
    <definedName name="Wet_Proc_perc_MQ_CR">'Data input and defaults'!$B$79</definedName>
    <definedName name="Wet_Proc_perc_MQ_RA">'Data input and defaults'!$D$79</definedName>
    <definedName name="Wet_Proc_perc_MQ_SG">'Data input and defaults'!$C$79</definedName>
    <definedName name="Wet_Proc_perc_SQ_CR">'Data input and defaults'!$B$80</definedName>
    <definedName name="Wet_Proc_perc_SQ_RA">'Data input and defaults'!$D$80</definedName>
    <definedName name="Wet_Proc_perc_SQ_SG">'Data input and defaults'!$C$80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7" l="1"/>
  <c r="E1" i="7"/>
  <c r="C1" i="7"/>
  <c r="D273" i="3" l="1"/>
  <c r="D272" i="3"/>
  <c r="D264" i="3"/>
  <c r="D192" i="6" l="1"/>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99" i="6" l="1"/>
  <c r="D100" i="6"/>
  <c r="D101" i="6"/>
  <c r="D98" i="6"/>
  <c r="D97" i="6"/>
  <c r="B18" i="3" l="1"/>
  <c r="C18" i="3"/>
  <c r="A2" i="7" l="1"/>
  <c r="D87" i="3" l="1"/>
  <c r="D86" i="3"/>
  <c r="C19" i="3" l="1"/>
  <c r="C20" i="3"/>
  <c r="B19" i="3"/>
  <c r="B20" i="3"/>
  <c r="E3" i="7" l="1"/>
  <c r="D4" i="7" l="1"/>
  <c r="F1" i="7" l="1"/>
  <c r="G1" i="7"/>
  <c r="B97" i="6"/>
  <c r="B98" i="6"/>
  <c r="B99" i="6"/>
  <c r="B100" i="6"/>
  <c r="B101" i="6"/>
  <c r="B102" i="6"/>
  <c r="B103" i="6"/>
  <c r="B104" i="6"/>
  <c r="B105" i="6"/>
  <c r="B106" i="6"/>
  <c r="B107" i="6"/>
  <c r="B108" i="6"/>
  <c r="B109" i="6"/>
  <c r="B110" i="6"/>
  <c r="B111" i="6"/>
  <c r="B112"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H1" i="7" l="1"/>
  <c r="Q68" i="1"/>
  <c r="Q67" i="1"/>
  <c r="Q66" i="1"/>
  <c r="Q65" i="1"/>
  <c r="Q64" i="1"/>
  <c r="AA66" i="1"/>
  <c r="Z66" i="1"/>
  <c r="Y66" i="1"/>
  <c r="AA64" i="1"/>
  <c r="Z64" i="1"/>
  <c r="Y64" i="1"/>
  <c r="X64" i="1"/>
  <c r="W64" i="1"/>
  <c r="V64" i="1"/>
  <c r="I1" i="7" l="1"/>
  <c r="C9" i="3"/>
  <c r="B9" i="3"/>
  <c r="C8" i="3"/>
  <c r="B8" i="3"/>
  <c r="C7" i="3"/>
  <c r="J1" i="7" l="1"/>
  <c r="D96" i="3"/>
  <c r="C96" i="3"/>
  <c r="B96" i="3"/>
  <c r="D92" i="3"/>
  <c r="C92" i="3"/>
  <c r="B92" i="3"/>
  <c r="D88" i="3"/>
  <c r="C88" i="3"/>
  <c r="B88" i="3"/>
  <c r="K1" i="7" l="1"/>
  <c r="B37" i="3"/>
  <c r="L1" i="7" l="1"/>
  <c r="C117" i="3"/>
  <c r="D230" i="3"/>
  <c r="C230" i="3"/>
  <c r="B230" i="3"/>
  <c r="D225" i="3"/>
  <c r="C225" i="3"/>
  <c r="B225" i="3"/>
  <c r="D220" i="3"/>
  <c r="C220" i="3"/>
  <c r="B220" i="3"/>
  <c r="D210" i="3"/>
  <c r="C210" i="3"/>
  <c r="B210" i="3"/>
  <c r="D205" i="3"/>
  <c r="C205" i="3"/>
  <c r="B205" i="3"/>
  <c r="D200" i="3"/>
  <c r="C200" i="3"/>
  <c r="B200" i="3"/>
  <c r="D190" i="3"/>
  <c r="C190" i="3"/>
  <c r="B190" i="3"/>
  <c r="D185" i="3"/>
  <c r="C185" i="3"/>
  <c r="B185" i="3"/>
  <c r="D180" i="3"/>
  <c r="C180" i="3"/>
  <c r="B180" i="3"/>
  <c r="M1" i="7" l="1"/>
  <c r="D59" i="6"/>
  <c r="N1" i="7" l="1"/>
  <c r="F64" i="6"/>
  <c r="E64" i="6"/>
  <c r="D64" i="6"/>
  <c r="F63" i="6"/>
  <c r="E63" i="6"/>
  <c r="D63" i="6"/>
  <c r="F62" i="6"/>
  <c r="E62" i="6"/>
  <c r="D62" i="6"/>
  <c r="D83" i="6"/>
  <c r="D82" i="6"/>
  <c r="D81" i="6"/>
  <c r="F83" i="6"/>
  <c r="F82" i="6"/>
  <c r="F81" i="6"/>
  <c r="E83" i="6"/>
  <c r="E82" i="6"/>
  <c r="E81"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O1" i="7" l="1"/>
  <c r="D295" i="3"/>
  <c r="D301" i="3" s="1"/>
  <c r="D294" i="3"/>
  <c r="D300" i="3" s="1"/>
  <c r="D293" i="3"/>
  <c r="D299" i="3" s="1"/>
  <c r="C295" i="3"/>
  <c r="C301" i="3" s="1"/>
  <c r="C294" i="3"/>
  <c r="C300" i="3" s="1"/>
  <c r="C293" i="3"/>
  <c r="C299" i="3" s="1"/>
  <c r="B295" i="3"/>
  <c r="B301" i="3" s="1"/>
  <c r="B294" i="3"/>
  <c r="B300" i="3" s="1"/>
  <c r="B293" i="3"/>
  <c r="B299" i="3" s="1"/>
  <c r="D298" i="3"/>
  <c r="D297" i="3"/>
  <c r="D296" i="3"/>
  <c r="C298" i="3"/>
  <c r="C289" i="3" s="1"/>
  <c r="C297" i="3"/>
  <c r="C288" i="3" s="1"/>
  <c r="C296" i="3"/>
  <c r="C287" i="3" s="1"/>
  <c r="B298" i="3"/>
  <c r="B289" i="3" s="1"/>
  <c r="B297" i="3"/>
  <c r="B288" i="3" s="1"/>
  <c r="B296" i="3"/>
  <c r="P1" i="7" l="1"/>
  <c r="D12" i="3"/>
  <c r="D13" i="3"/>
  <c r="D14" i="3"/>
  <c r="Q1" i="7" l="1"/>
  <c r="D19" i="3"/>
  <c r="D8" i="3" s="1"/>
  <c r="D288" i="3" s="1"/>
  <c r="D20" i="3"/>
  <c r="D9" i="3" s="1"/>
  <c r="D289" i="3" s="1"/>
  <c r="F158" i="12"/>
  <c r="I158" i="12" s="1"/>
  <c r="L158" i="12" s="1"/>
  <c r="O158" i="12" s="1"/>
  <c r="E158" i="12"/>
  <c r="H158" i="12" s="1"/>
  <c r="K158" i="12" s="1"/>
  <c r="N158" i="12" s="1"/>
  <c r="D158" i="12"/>
  <c r="G158" i="12" s="1"/>
  <c r="J158" i="12" s="1"/>
  <c r="M158" i="12" s="1"/>
  <c r="P157" i="12"/>
  <c r="S157" i="12" s="1"/>
  <c r="V157" i="12" s="1"/>
  <c r="Y157" i="12" s="1"/>
  <c r="F157" i="12"/>
  <c r="I157" i="12" s="1"/>
  <c r="L157" i="12" s="1"/>
  <c r="O157" i="12" s="1"/>
  <c r="E157" i="12"/>
  <c r="H157" i="12" s="1"/>
  <c r="K157" i="12" s="1"/>
  <c r="N157" i="12" s="1"/>
  <c r="P156" i="12"/>
  <c r="S156" i="12" s="1"/>
  <c r="V156" i="12" s="1"/>
  <c r="Y156" i="12" s="1"/>
  <c r="F156" i="12"/>
  <c r="I156" i="12" s="1"/>
  <c r="L156" i="12" s="1"/>
  <c r="O156" i="12" s="1"/>
  <c r="E156" i="12"/>
  <c r="H156" i="12" s="1"/>
  <c r="K156" i="12" s="1"/>
  <c r="N156" i="12" s="1"/>
  <c r="D156" i="12"/>
  <c r="G156" i="12" s="1"/>
  <c r="J156" i="12" s="1"/>
  <c r="M156" i="12" s="1"/>
  <c r="P155" i="12"/>
  <c r="S155" i="12" s="1"/>
  <c r="V155" i="12" s="1"/>
  <c r="Y155" i="12" s="1"/>
  <c r="F155" i="12"/>
  <c r="I155" i="12" s="1"/>
  <c r="L155" i="12" s="1"/>
  <c r="O155" i="12" s="1"/>
  <c r="E155" i="12"/>
  <c r="H155" i="12" s="1"/>
  <c r="K155" i="12" s="1"/>
  <c r="N155" i="12" s="1"/>
  <c r="P154" i="12"/>
  <c r="S154" i="12" s="1"/>
  <c r="V154" i="12" s="1"/>
  <c r="Y154" i="12" s="1"/>
  <c r="F154" i="12"/>
  <c r="I154" i="12" s="1"/>
  <c r="L154" i="12" s="1"/>
  <c r="O154" i="12" s="1"/>
  <c r="E154" i="12"/>
  <c r="H154" i="12" s="1"/>
  <c r="K154" i="12" s="1"/>
  <c r="N154" i="12" s="1"/>
  <c r="D154" i="12"/>
  <c r="G154" i="12" s="1"/>
  <c r="J154" i="12" s="1"/>
  <c r="M154" i="12" s="1"/>
  <c r="P153" i="12"/>
  <c r="S153" i="12" s="1"/>
  <c r="V153" i="12" s="1"/>
  <c r="Y153" i="12" s="1"/>
  <c r="F153" i="12"/>
  <c r="I153" i="12" s="1"/>
  <c r="L153" i="12" s="1"/>
  <c r="O153" i="12" s="1"/>
  <c r="E153" i="12"/>
  <c r="H153" i="12" s="1"/>
  <c r="K153" i="12" s="1"/>
  <c r="N153" i="12" s="1"/>
  <c r="P152" i="12"/>
  <c r="S152" i="12" s="1"/>
  <c r="V152" i="12" s="1"/>
  <c r="Y152" i="12" s="1"/>
  <c r="F152" i="12"/>
  <c r="I152" i="12" s="1"/>
  <c r="L152" i="12" s="1"/>
  <c r="O152" i="12" s="1"/>
  <c r="E152" i="12"/>
  <c r="H152" i="12" s="1"/>
  <c r="K152" i="12" s="1"/>
  <c r="N152" i="12" s="1"/>
  <c r="P151" i="12"/>
  <c r="S151" i="12" s="1"/>
  <c r="V151" i="12" s="1"/>
  <c r="Y151" i="12" s="1"/>
  <c r="F151" i="12"/>
  <c r="I151" i="12" s="1"/>
  <c r="L151" i="12" s="1"/>
  <c r="O151" i="12" s="1"/>
  <c r="E151" i="12"/>
  <c r="H151" i="12" s="1"/>
  <c r="K151" i="12" s="1"/>
  <c r="N151" i="12" s="1"/>
  <c r="P150" i="12"/>
  <c r="S150" i="12" s="1"/>
  <c r="V150" i="12" s="1"/>
  <c r="Y150" i="12" s="1"/>
  <c r="F150" i="12"/>
  <c r="I150" i="12" s="1"/>
  <c r="L150" i="12" s="1"/>
  <c r="O150" i="12" s="1"/>
  <c r="E150" i="12"/>
  <c r="H150" i="12" s="1"/>
  <c r="K150" i="12" s="1"/>
  <c r="N150" i="12" s="1"/>
  <c r="P149" i="12"/>
  <c r="S149" i="12" s="1"/>
  <c r="V149" i="12" s="1"/>
  <c r="Y149" i="12" s="1"/>
  <c r="F149" i="12"/>
  <c r="I149" i="12" s="1"/>
  <c r="L149" i="12" s="1"/>
  <c r="O149" i="12" s="1"/>
  <c r="E149" i="12"/>
  <c r="H149" i="12" s="1"/>
  <c r="K149" i="12" s="1"/>
  <c r="N149" i="12" s="1"/>
  <c r="P148" i="12"/>
  <c r="S148" i="12" s="1"/>
  <c r="V148" i="12" s="1"/>
  <c r="Y148" i="12" s="1"/>
  <c r="F148" i="12"/>
  <c r="I148" i="12" s="1"/>
  <c r="L148" i="12" s="1"/>
  <c r="O148" i="12" s="1"/>
  <c r="E148" i="12"/>
  <c r="H148" i="12" s="1"/>
  <c r="K148" i="12" s="1"/>
  <c r="N148" i="12" s="1"/>
  <c r="P147" i="12"/>
  <c r="S147" i="12" s="1"/>
  <c r="V147" i="12" s="1"/>
  <c r="Y147" i="12" s="1"/>
  <c r="F147" i="12"/>
  <c r="I147" i="12" s="1"/>
  <c r="L147" i="12" s="1"/>
  <c r="O147" i="12" s="1"/>
  <c r="E147" i="12"/>
  <c r="H147" i="12" s="1"/>
  <c r="K147" i="12" s="1"/>
  <c r="N147" i="12" s="1"/>
  <c r="P146" i="12"/>
  <c r="S146" i="12" s="1"/>
  <c r="V146" i="12" s="1"/>
  <c r="Y146" i="12" s="1"/>
  <c r="F146" i="12"/>
  <c r="I146" i="12" s="1"/>
  <c r="L146" i="12" s="1"/>
  <c r="O146" i="12" s="1"/>
  <c r="E146" i="12"/>
  <c r="H146" i="12" s="1"/>
  <c r="K146" i="12" s="1"/>
  <c r="N146" i="12" s="1"/>
  <c r="P145" i="12"/>
  <c r="S145" i="12" s="1"/>
  <c r="V145" i="12" s="1"/>
  <c r="Y145" i="12" s="1"/>
  <c r="F145" i="12"/>
  <c r="I145" i="12" s="1"/>
  <c r="L145" i="12" s="1"/>
  <c r="O145" i="12" s="1"/>
  <c r="E145" i="12"/>
  <c r="H145" i="12" s="1"/>
  <c r="K145" i="12" s="1"/>
  <c r="N145" i="12" s="1"/>
  <c r="P144" i="12"/>
  <c r="S144" i="12" s="1"/>
  <c r="V144" i="12" s="1"/>
  <c r="Y144" i="12" s="1"/>
  <c r="F144" i="12"/>
  <c r="I144" i="12" s="1"/>
  <c r="L144" i="12" s="1"/>
  <c r="O144" i="12" s="1"/>
  <c r="E144" i="12"/>
  <c r="H144" i="12" s="1"/>
  <c r="K144" i="12" s="1"/>
  <c r="N144" i="12" s="1"/>
  <c r="P143" i="12"/>
  <c r="S143" i="12" s="1"/>
  <c r="V143" i="12" s="1"/>
  <c r="Y143" i="12" s="1"/>
  <c r="F143" i="12"/>
  <c r="I143" i="12" s="1"/>
  <c r="L143" i="12" s="1"/>
  <c r="O143" i="12" s="1"/>
  <c r="E143" i="12"/>
  <c r="H143" i="12" s="1"/>
  <c r="K143" i="12" s="1"/>
  <c r="N143" i="12" s="1"/>
  <c r="P142" i="12"/>
  <c r="S142" i="12" s="1"/>
  <c r="V142" i="12" s="1"/>
  <c r="Y142" i="12" s="1"/>
  <c r="F142" i="12"/>
  <c r="I142" i="12" s="1"/>
  <c r="L142" i="12" s="1"/>
  <c r="O142" i="12" s="1"/>
  <c r="E142" i="12"/>
  <c r="H142" i="12" s="1"/>
  <c r="K142" i="12" s="1"/>
  <c r="N142" i="12" s="1"/>
  <c r="D142" i="12"/>
  <c r="G142" i="12" s="1"/>
  <c r="J142" i="12" s="1"/>
  <c r="M142" i="12" s="1"/>
  <c r="P141" i="12"/>
  <c r="S141" i="12" s="1"/>
  <c r="V141" i="12" s="1"/>
  <c r="Y141" i="12" s="1"/>
  <c r="F141" i="12"/>
  <c r="I141" i="12" s="1"/>
  <c r="L141" i="12" s="1"/>
  <c r="O141" i="12" s="1"/>
  <c r="E141" i="12"/>
  <c r="H141" i="12" s="1"/>
  <c r="K141" i="12" s="1"/>
  <c r="N141" i="12" s="1"/>
  <c r="P140" i="12"/>
  <c r="S140" i="12" s="1"/>
  <c r="V140" i="12" s="1"/>
  <c r="Y140" i="12" s="1"/>
  <c r="F140" i="12"/>
  <c r="I140" i="12" s="1"/>
  <c r="L140" i="12" s="1"/>
  <c r="O140" i="12" s="1"/>
  <c r="E140" i="12"/>
  <c r="H140" i="12" s="1"/>
  <c r="K140" i="12" s="1"/>
  <c r="N140" i="12" s="1"/>
  <c r="P139" i="12"/>
  <c r="S139" i="12" s="1"/>
  <c r="V139" i="12" s="1"/>
  <c r="Y139" i="12" s="1"/>
  <c r="F139" i="12"/>
  <c r="I139" i="12" s="1"/>
  <c r="L139" i="12" s="1"/>
  <c r="O139" i="12" s="1"/>
  <c r="E139" i="12"/>
  <c r="H139" i="12" s="1"/>
  <c r="K139" i="12" s="1"/>
  <c r="N139" i="12" s="1"/>
  <c r="P138" i="12"/>
  <c r="S138" i="12" s="1"/>
  <c r="V138" i="12" s="1"/>
  <c r="Y138" i="12" s="1"/>
  <c r="F138" i="12"/>
  <c r="I138" i="12" s="1"/>
  <c r="L138" i="12" s="1"/>
  <c r="O138" i="12" s="1"/>
  <c r="E138" i="12"/>
  <c r="H138" i="12" s="1"/>
  <c r="K138" i="12" s="1"/>
  <c r="N138" i="12" s="1"/>
  <c r="P137" i="12"/>
  <c r="S137" i="12" s="1"/>
  <c r="V137" i="12" s="1"/>
  <c r="Y137" i="12" s="1"/>
  <c r="F137" i="12"/>
  <c r="I137" i="12" s="1"/>
  <c r="L137" i="12" s="1"/>
  <c r="O137" i="12" s="1"/>
  <c r="E137" i="12"/>
  <c r="H137" i="12" s="1"/>
  <c r="K137" i="12" s="1"/>
  <c r="N137" i="12" s="1"/>
  <c r="D137" i="12"/>
  <c r="G137" i="12" s="1"/>
  <c r="J137" i="12" s="1"/>
  <c r="M137" i="12" s="1"/>
  <c r="P136" i="12"/>
  <c r="S136" i="12" s="1"/>
  <c r="V136" i="12" s="1"/>
  <c r="Y136" i="12" s="1"/>
  <c r="F136" i="12"/>
  <c r="I136" i="12" s="1"/>
  <c r="L136" i="12" s="1"/>
  <c r="O136" i="12" s="1"/>
  <c r="E136" i="12"/>
  <c r="H136" i="12" s="1"/>
  <c r="K136" i="12" s="1"/>
  <c r="N136" i="12" s="1"/>
  <c r="P135" i="12"/>
  <c r="S135" i="12" s="1"/>
  <c r="V135" i="12" s="1"/>
  <c r="Y135" i="12" s="1"/>
  <c r="F135" i="12"/>
  <c r="I135" i="12" s="1"/>
  <c r="L135" i="12" s="1"/>
  <c r="O135" i="12" s="1"/>
  <c r="E135" i="12"/>
  <c r="H135" i="12" s="1"/>
  <c r="K135" i="12" s="1"/>
  <c r="N135" i="12" s="1"/>
  <c r="P134" i="12"/>
  <c r="S134" i="12" s="1"/>
  <c r="V134" i="12" s="1"/>
  <c r="Y134" i="12" s="1"/>
  <c r="F134" i="12"/>
  <c r="I134" i="12" s="1"/>
  <c r="L134" i="12" s="1"/>
  <c r="O134" i="12" s="1"/>
  <c r="E134" i="12"/>
  <c r="H134" i="12" s="1"/>
  <c r="K134" i="12" s="1"/>
  <c r="N134" i="12" s="1"/>
  <c r="P133" i="12"/>
  <c r="S133" i="12" s="1"/>
  <c r="V133" i="12" s="1"/>
  <c r="Y133" i="12" s="1"/>
  <c r="F133" i="12"/>
  <c r="I133" i="12" s="1"/>
  <c r="L133" i="12" s="1"/>
  <c r="O133" i="12" s="1"/>
  <c r="E133" i="12"/>
  <c r="H133" i="12" s="1"/>
  <c r="K133" i="12" s="1"/>
  <c r="N133" i="12" s="1"/>
  <c r="D133" i="12"/>
  <c r="G133" i="12" s="1"/>
  <c r="J133" i="12" s="1"/>
  <c r="M133" i="12" s="1"/>
  <c r="P132" i="12"/>
  <c r="S132" i="12" s="1"/>
  <c r="V132" i="12" s="1"/>
  <c r="Y132" i="12" s="1"/>
  <c r="F132" i="12"/>
  <c r="I132" i="12" s="1"/>
  <c r="L132" i="12" s="1"/>
  <c r="O132" i="12" s="1"/>
  <c r="E132" i="12"/>
  <c r="H132" i="12" s="1"/>
  <c r="K132" i="12" s="1"/>
  <c r="N132" i="12" s="1"/>
  <c r="P131" i="12"/>
  <c r="S131" i="12" s="1"/>
  <c r="V131" i="12" s="1"/>
  <c r="Y131" i="12" s="1"/>
  <c r="F131" i="12"/>
  <c r="I131" i="12" s="1"/>
  <c r="L131" i="12" s="1"/>
  <c r="O131" i="12" s="1"/>
  <c r="E131" i="12"/>
  <c r="H131" i="12" s="1"/>
  <c r="K131" i="12" s="1"/>
  <c r="N131" i="12" s="1"/>
  <c r="P130" i="12"/>
  <c r="S130" i="12" s="1"/>
  <c r="V130" i="12" s="1"/>
  <c r="Y130" i="12" s="1"/>
  <c r="F130" i="12"/>
  <c r="I130" i="12" s="1"/>
  <c r="L130" i="12" s="1"/>
  <c r="O130" i="12" s="1"/>
  <c r="E130" i="12"/>
  <c r="H130" i="12" s="1"/>
  <c r="K130" i="12" s="1"/>
  <c r="N130" i="12" s="1"/>
  <c r="P129" i="12"/>
  <c r="S129" i="12" s="1"/>
  <c r="V129" i="12" s="1"/>
  <c r="Y129" i="12" s="1"/>
  <c r="F129" i="12"/>
  <c r="I129" i="12" s="1"/>
  <c r="L129" i="12" s="1"/>
  <c r="O129" i="12" s="1"/>
  <c r="E129" i="12"/>
  <c r="H129" i="12" s="1"/>
  <c r="K129" i="12" s="1"/>
  <c r="N129" i="12" s="1"/>
  <c r="P128" i="12"/>
  <c r="S128" i="12" s="1"/>
  <c r="V128" i="12" s="1"/>
  <c r="Y128" i="12" s="1"/>
  <c r="F128" i="12"/>
  <c r="I128" i="12" s="1"/>
  <c r="L128" i="12" s="1"/>
  <c r="O128" i="12" s="1"/>
  <c r="E128" i="12"/>
  <c r="H128" i="12" s="1"/>
  <c r="K128" i="12" s="1"/>
  <c r="N128" i="12" s="1"/>
  <c r="P127" i="12"/>
  <c r="S127" i="12" s="1"/>
  <c r="V127" i="12" s="1"/>
  <c r="Y127" i="12" s="1"/>
  <c r="F127" i="12"/>
  <c r="I127" i="12" s="1"/>
  <c r="L127" i="12" s="1"/>
  <c r="O127" i="12" s="1"/>
  <c r="E127" i="12"/>
  <c r="H127" i="12" s="1"/>
  <c r="K127" i="12" s="1"/>
  <c r="N127" i="12" s="1"/>
  <c r="P126" i="12"/>
  <c r="S126" i="12" s="1"/>
  <c r="V126" i="12" s="1"/>
  <c r="Y126" i="12" s="1"/>
  <c r="F126" i="12"/>
  <c r="I126" i="12" s="1"/>
  <c r="L126" i="12" s="1"/>
  <c r="O126" i="12" s="1"/>
  <c r="E126" i="12"/>
  <c r="H126" i="12" s="1"/>
  <c r="K126" i="12" s="1"/>
  <c r="N126" i="12" s="1"/>
  <c r="P125" i="12"/>
  <c r="S125" i="12" s="1"/>
  <c r="V125" i="12" s="1"/>
  <c r="Y125" i="12" s="1"/>
  <c r="F125" i="12"/>
  <c r="I125" i="12" s="1"/>
  <c r="L125" i="12" s="1"/>
  <c r="O125" i="12" s="1"/>
  <c r="E125" i="12"/>
  <c r="H125" i="12" s="1"/>
  <c r="K125" i="12" s="1"/>
  <c r="N125" i="12" s="1"/>
  <c r="P124" i="12"/>
  <c r="S124" i="12" s="1"/>
  <c r="V124" i="12" s="1"/>
  <c r="Y124" i="12" s="1"/>
  <c r="F124" i="12"/>
  <c r="I124" i="12" s="1"/>
  <c r="L124" i="12" s="1"/>
  <c r="O124" i="12" s="1"/>
  <c r="E124" i="12"/>
  <c r="H124" i="12" s="1"/>
  <c r="K124" i="12" s="1"/>
  <c r="N124" i="12" s="1"/>
  <c r="P123" i="12"/>
  <c r="S123" i="12" s="1"/>
  <c r="V123" i="12" s="1"/>
  <c r="Y123" i="12" s="1"/>
  <c r="F123" i="12"/>
  <c r="I123" i="12" s="1"/>
  <c r="L123" i="12" s="1"/>
  <c r="O123" i="12" s="1"/>
  <c r="E123" i="12"/>
  <c r="H123" i="12" s="1"/>
  <c r="K123" i="12" s="1"/>
  <c r="N123" i="12" s="1"/>
  <c r="P122" i="12"/>
  <c r="S122" i="12" s="1"/>
  <c r="V122" i="12" s="1"/>
  <c r="Y122" i="12" s="1"/>
  <c r="F122" i="12"/>
  <c r="I122" i="12" s="1"/>
  <c r="L122" i="12" s="1"/>
  <c r="O122" i="12" s="1"/>
  <c r="E122" i="12"/>
  <c r="H122" i="12" s="1"/>
  <c r="K122" i="12" s="1"/>
  <c r="N122" i="12" s="1"/>
  <c r="D122" i="12"/>
  <c r="G122" i="12" s="1"/>
  <c r="J122" i="12" s="1"/>
  <c r="M122" i="12" s="1"/>
  <c r="P121" i="12"/>
  <c r="S121" i="12" s="1"/>
  <c r="V121" i="12" s="1"/>
  <c r="Y121" i="12" s="1"/>
  <c r="F121" i="12"/>
  <c r="I121" i="12" s="1"/>
  <c r="L121" i="12" s="1"/>
  <c r="O121" i="12" s="1"/>
  <c r="E121" i="12"/>
  <c r="H121" i="12" s="1"/>
  <c r="K121" i="12" s="1"/>
  <c r="N121" i="12" s="1"/>
  <c r="P120" i="12"/>
  <c r="S120" i="12" s="1"/>
  <c r="V120" i="12" s="1"/>
  <c r="Y120" i="12" s="1"/>
  <c r="F120" i="12"/>
  <c r="I120" i="12" s="1"/>
  <c r="L120" i="12" s="1"/>
  <c r="O120" i="12" s="1"/>
  <c r="E120" i="12"/>
  <c r="H120" i="12" s="1"/>
  <c r="K120" i="12" s="1"/>
  <c r="N120" i="12" s="1"/>
  <c r="P119" i="12"/>
  <c r="S119" i="12" s="1"/>
  <c r="V119" i="12" s="1"/>
  <c r="Y119" i="12" s="1"/>
  <c r="F119" i="12"/>
  <c r="I119" i="12" s="1"/>
  <c r="L119" i="12" s="1"/>
  <c r="O119" i="12" s="1"/>
  <c r="E119" i="12"/>
  <c r="H119" i="12" s="1"/>
  <c r="K119" i="12" s="1"/>
  <c r="N119" i="12" s="1"/>
  <c r="P118" i="12"/>
  <c r="S118" i="12" s="1"/>
  <c r="V118" i="12" s="1"/>
  <c r="Y118" i="12" s="1"/>
  <c r="F118" i="12"/>
  <c r="I118" i="12" s="1"/>
  <c r="L118" i="12" s="1"/>
  <c r="O118" i="12" s="1"/>
  <c r="E118" i="12"/>
  <c r="H118" i="12" s="1"/>
  <c r="K118" i="12" s="1"/>
  <c r="N118" i="12" s="1"/>
  <c r="P117" i="12"/>
  <c r="S117" i="12" s="1"/>
  <c r="V117" i="12" s="1"/>
  <c r="Y117" i="12" s="1"/>
  <c r="F117" i="12"/>
  <c r="I117" i="12" s="1"/>
  <c r="L117" i="12" s="1"/>
  <c r="O117" i="12" s="1"/>
  <c r="E117" i="12"/>
  <c r="H117" i="12" s="1"/>
  <c r="K117" i="12" s="1"/>
  <c r="N117" i="12" s="1"/>
  <c r="P116" i="12"/>
  <c r="S116" i="12" s="1"/>
  <c r="V116" i="12" s="1"/>
  <c r="Y116" i="12" s="1"/>
  <c r="F116" i="12"/>
  <c r="I116" i="12" s="1"/>
  <c r="L116" i="12" s="1"/>
  <c r="O116" i="12" s="1"/>
  <c r="E116" i="12"/>
  <c r="H116" i="12" s="1"/>
  <c r="K116" i="12" s="1"/>
  <c r="N116" i="12" s="1"/>
  <c r="P115" i="12"/>
  <c r="S115" i="12" s="1"/>
  <c r="V115" i="12" s="1"/>
  <c r="Y115" i="12" s="1"/>
  <c r="F115" i="12"/>
  <c r="I115" i="12" s="1"/>
  <c r="L115" i="12" s="1"/>
  <c r="O115" i="12" s="1"/>
  <c r="E115" i="12"/>
  <c r="H115" i="12" s="1"/>
  <c r="K115" i="12" s="1"/>
  <c r="N115" i="12" s="1"/>
  <c r="P114" i="12"/>
  <c r="S114" i="12" s="1"/>
  <c r="V114" i="12" s="1"/>
  <c r="Y114" i="12" s="1"/>
  <c r="F114" i="12"/>
  <c r="I114" i="12" s="1"/>
  <c r="L114" i="12" s="1"/>
  <c r="O114" i="12" s="1"/>
  <c r="E114" i="12"/>
  <c r="H114" i="12" s="1"/>
  <c r="K114" i="12" s="1"/>
  <c r="N114" i="12" s="1"/>
  <c r="P113" i="12"/>
  <c r="S113" i="12" s="1"/>
  <c r="V113" i="12" s="1"/>
  <c r="Y113" i="12" s="1"/>
  <c r="F113" i="12"/>
  <c r="I113" i="12" s="1"/>
  <c r="L113" i="12" s="1"/>
  <c r="O113" i="12" s="1"/>
  <c r="E113" i="12"/>
  <c r="H113" i="12" s="1"/>
  <c r="K113" i="12" s="1"/>
  <c r="N113" i="12" s="1"/>
  <c r="P112" i="12"/>
  <c r="S112" i="12" s="1"/>
  <c r="V112" i="12" s="1"/>
  <c r="Y112" i="12" s="1"/>
  <c r="F112" i="12"/>
  <c r="I112" i="12" s="1"/>
  <c r="L112" i="12" s="1"/>
  <c r="O112" i="12" s="1"/>
  <c r="E112" i="12"/>
  <c r="H112" i="12" s="1"/>
  <c r="K112" i="12" s="1"/>
  <c r="N112" i="12" s="1"/>
  <c r="P111" i="12"/>
  <c r="S111" i="12" s="1"/>
  <c r="V111" i="12" s="1"/>
  <c r="Y111" i="12" s="1"/>
  <c r="F111" i="12"/>
  <c r="I111" i="12" s="1"/>
  <c r="L111" i="12" s="1"/>
  <c r="O111" i="12" s="1"/>
  <c r="E111" i="12"/>
  <c r="H111" i="12" s="1"/>
  <c r="K111" i="12" s="1"/>
  <c r="N111" i="12" s="1"/>
  <c r="P110" i="12"/>
  <c r="S110" i="12" s="1"/>
  <c r="V110" i="12" s="1"/>
  <c r="Y110" i="12" s="1"/>
  <c r="F110" i="12"/>
  <c r="I110" i="12" s="1"/>
  <c r="L110" i="12" s="1"/>
  <c r="O110" i="12" s="1"/>
  <c r="E110" i="12"/>
  <c r="H110" i="12" s="1"/>
  <c r="K110" i="12" s="1"/>
  <c r="N110" i="12" s="1"/>
  <c r="D110" i="12"/>
  <c r="G110" i="12" s="1"/>
  <c r="J110" i="12" s="1"/>
  <c r="M110" i="12" s="1"/>
  <c r="P109" i="12"/>
  <c r="S109" i="12" s="1"/>
  <c r="V109" i="12" s="1"/>
  <c r="Y109" i="12" s="1"/>
  <c r="F109" i="12"/>
  <c r="I109" i="12" s="1"/>
  <c r="L109" i="12" s="1"/>
  <c r="O109" i="12" s="1"/>
  <c r="E109" i="12"/>
  <c r="H109" i="12" s="1"/>
  <c r="K109" i="12" s="1"/>
  <c r="N109" i="12" s="1"/>
  <c r="P108" i="12"/>
  <c r="S108" i="12" s="1"/>
  <c r="V108" i="12" s="1"/>
  <c r="Y108" i="12" s="1"/>
  <c r="F108" i="12"/>
  <c r="I108" i="12" s="1"/>
  <c r="L108" i="12" s="1"/>
  <c r="O108" i="12" s="1"/>
  <c r="E108" i="12"/>
  <c r="H108" i="12" s="1"/>
  <c r="K108" i="12" s="1"/>
  <c r="N108" i="12" s="1"/>
  <c r="D108" i="12"/>
  <c r="G108" i="12" s="1"/>
  <c r="J108" i="12" s="1"/>
  <c r="M108" i="12" s="1"/>
  <c r="P107" i="12"/>
  <c r="S107" i="12" s="1"/>
  <c r="V107" i="12" s="1"/>
  <c r="Y107" i="12" s="1"/>
  <c r="F107" i="12"/>
  <c r="I107" i="12" s="1"/>
  <c r="L107" i="12" s="1"/>
  <c r="O107" i="12" s="1"/>
  <c r="E107" i="12"/>
  <c r="H107" i="12" s="1"/>
  <c r="K107" i="12" s="1"/>
  <c r="N107" i="12" s="1"/>
  <c r="P106" i="12"/>
  <c r="S106" i="12" s="1"/>
  <c r="V106" i="12" s="1"/>
  <c r="Y106" i="12" s="1"/>
  <c r="F106" i="12"/>
  <c r="I106" i="12" s="1"/>
  <c r="L106" i="12" s="1"/>
  <c r="O106" i="12" s="1"/>
  <c r="E106" i="12"/>
  <c r="H106" i="12" s="1"/>
  <c r="K106" i="12" s="1"/>
  <c r="N106" i="12" s="1"/>
  <c r="P105" i="12"/>
  <c r="S105" i="12" s="1"/>
  <c r="V105" i="12" s="1"/>
  <c r="Y105" i="12" s="1"/>
  <c r="F105" i="12"/>
  <c r="I105" i="12" s="1"/>
  <c r="L105" i="12" s="1"/>
  <c r="O105" i="12" s="1"/>
  <c r="E105" i="12"/>
  <c r="H105" i="12" s="1"/>
  <c r="K105" i="12" s="1"/>
  <c r="N105" i="12" s="1"/>
  <c r="D105" i="12"/>
  <c r="G105" i="12" s="1"/>
  <c r="J105" i="12" s="1"/>
  <c r="M105" i="12" s="1"/>
  <c r="P104" i="12"/>
  <c r="S104" i="12" s="1"/>
  <c r="V104" i="12" s="1"/>
  <c r="Y104" i="12" s="1"/>
  <c r="F104" i="12"/>
  <c r="I104" i="12" s="1"/>
  <c r="L104" i="12" s="1"/>
  <c r="O104" i="12" s="1"/>
  <c r="E104" i="12"/>
  <c r="H104" i="12" s="1"/>
  <c r="K104" i="12" s="1"/>
  <c r="N104" i="12" s="1"/>
  <c r="P103" i="12"/>
  <c r="S103" i="12" s="1"/>
  <c r="V103" i="12" s="1"/>
  <c r="Y103" i="12" s="1"/>
  <c r="F103" i="12"/>
  <c r="I103" i="12" s="1"/>
  <c r="L103" i="12" s="1"/>
  <c r="O103" i="12" s="1"/>
  <c r="E103" i="12"/>
  <c r="H103" i="12" s="1"/>
  <c r="K103" i="12" s="1"/>
  <c r="N103" i="12" s="1"/>
  <c r="D103" i="12"/>
  <c r="G103" i="12" s="1"/>
  <c r="J103" i="12" s="1"/>
  <c r="M103" i="12" s="1"/>
  <c r="P102" i="12"/>
  <c r="S102" i="12" s="1"/>
  <c r="V102" i="12" s="1"/>
  <c r="Y102" i="12" s="1"/>
  <c r="F102" i="12"/>
  <c r="I102" i="12" s="1"/>
  <c r="L102" i="12" s="1"/>
  <c r="O102" i="12" s="1"/>
  <c r="E102" i="12"/>
  <c r="H102" i="12" s="1"/>
  <c r="K102" i="12" s="1"/>
  <c r="N102" i="12" s="1"/>
  <c r="P101" i="12"/>
  <c r="S101" i="12" s="1"/>
  <c r="V101" i="12" s="1"/>
  <c r="Y101" i="12" s="1"/>
  <c r="F101" i="12"/>
  <c r="I101" i="12" s="1"/>
  <c r="L101" i="12" s="1"/>
  <c r="O101" i="12" s="1"/>
  <c r="E101" i="12"/>
  <c r="H101" i="12" s="1"/>
  <c r="K101" i="12" s="1"/>
  <c r="N101" i="12" s="1"/>
  <c r="P100" i="12"/>
  <c r="S100" i="12" s="1"/>
  <c r="V100" i="12" s="1"/>
  <c r="Y100" i="12" s="1"/>
  <c r="F100" i="12"/>
  <c r="I100" i="12" s="1"/>
  <c r="L100" i="12" s="1"/>
  <c r="O100" i="12" s="1"/>
  <c r="E100" i="12"/>
  <c r="H100" i="12" s="1"/>
  <c r="K100" i="12" s="1"/>
  <c r="N100" i="12" s="1"/>
  <c r="P99" i="12"/>
  <c r="S99" i="12" s="1"/>
  <c r="V99" i="12" s="1"/>
  <c r="Y99" i="12" s="1"/>
  <c r="F99" i="12"/>
  <c r="I99" i="12" s="1"/>
  <c r="L99" i="12" s="1"/>
  <c r="O99" i="12" s="1"/>
  <c r="E99" i="12"/>
  <c r="H99" i="12" s="1"/>
  <c r="K99" i="12" s="1"/>
  <c r="N99" i="12" s="1"/>
  <c r="P98" i="12"/>
  <c r="S98" i="12" s="1"/>
  <c r="V98" i="12" s="1"/>
  <c r="Y98" i="12" s="1"/>
  <c r="F98" i="12"/>
  <c r="I98" i="12" s="1"/>
  <c r="L98" i="12" s="1"/>
  <c r="O98" i="12" s="1"/>
  <c r="E98" i="12"/>
  <c r="H98" i="12" s="1"/>
  <c r="K98" i="12" s="1"/>
  <c r="N98" i="12" s="1"/>
  <c r="P97" i="12"/>
  <c r="S97" i="12" s="1"/>
  <c r="V97" i="12" s="1"/>
  <c r="Y97" i="12" s="1"/>
  <c r="F97" i="12"/>
  <c r="I97" i="12" s="1"/>
  <c r="L97" i="12" s="1"/>
  <c r="O97" i="12" s="1"/>
  <c r="E97" i="12"/>
  <c r="H97" i="12" s="1"/>
  <c r="K97" i="12" s="1"/>
  <c r="N97" i="12" s="1"/>
  <c r="P96" i="12"/>
  <c r="S96" i="12" s="1"/>
  <c r="V96" i="12" s="1"/>
  <c r="Y96" i="12" s="1"/>
  <c r="F96" i="12"/>
  <c r="I96" i="12" s="1"/>
  <c r="L96" i="12" s="1"/>
  <c r="O96" i="12" s="1"/>
  <c r="E96" i="12"/>
  <c r="H96" i="12" s="1"/>
  <c r="K96" i="12" s="1"/>
  <c r="N96" i="12" s="1"/>
  <c r="P95" i="12"/>
  <c r="S95" i="12" s="1"/>
  <c r="V95" i="12" s="1"/>
  <c r="Y95" i="12" s="1"/>
  <c r="F95" i="12"/>
  <c r="I95" i="12" s="1"/>
  <c r="L95" i="12" s="1"/>
  <c r="O95" i="12" s="1"/>
  <c r="E95" i="12"/>
  <c r="H95" i="12" s="1"/>
  <c r="K95" i="12" s="1"/>
  <c r="N95" i="12" s="1"/>
  <c r="D95" i="12"/>
  <c r="G95" i="12" s="1"/>
  <c r="J95" i="12" s="1"/>
  <c r="M95" i="12" s="1"/>
  <c r="P94" i="12"/>
  <c r="S94" i="12" s="1"/>
  <c r="V94" i="12" s="1"/>
  <c r="Y94" i="12" s="1"/>
  <c r="F94" i="12"/>
  <c r="I94" i="12" s="1"/>
  <c r="L94" i="12" s="1"/>
  <c r="O94" i="12" s="1"/>
  <c r="E94" i="12"/>
  <c r="H94" i="12" s="1"/>
  <c r="K94" i="12" s="1"/>
  <c r="N94" i="12" s="1"/>
  <c r="D94" i="12"/>
  <c r="G94" i="12" s="1"/>
  <c r="J94" i="12" s="1"/>
  <c r="M94" i="12" s="1"/>
  <c r="P93" i="12"/>
  <c r="S93" i="12" s="1"/>
  <c r="V93" i="12" s="1"/>
  <c r="Y93" i="12" s="1"/>
  <c r="F93" i="12"/>
  <c r="I93" i="12" s="1"/>
  <c r="L93" i="12" s="1"/>
  <c r="O93" i="12" s="1"/>
  <c r="E93" i="12"/>
  <c r="H93" i="12" s="1"/>
  <c r="K93" i="12" s="1"/>
  <c r="N93" i="12" s="1"/>
  <c r="P92" i="12"/>
  <c r="S92" i="12" s="1"/>
  <c r="V92" i="12" s="1"/>
  <c r="Y92" i="12" s="1"/>
  <c r="F92" i="12"/>
  <c r="I92" i="12" s="1"/>
  <c r="L92" i="12" s="1"/>
  <c r="O92" i="12" s="1"/>
  <c r="E92" i="12"/>
  <c r="H92" i="12" s="1"/>
  <c r="K92" i="12" s="1"/>
  <c r="N92" i="12" s="1"/>
  <c r="P91" i="12"/>
  <c r="S91" i="12" s="1"/>
  <c r="V91" i="12" s="1"/>
  <c r="Y91" i="12" s="1"/>
  <c r="F91" i="12"/>
  <c r="I91" i="12" s="1"/>
  <c r="L91" i="12" s="1"/>
  <c r="O91" i="12" s="1"/>
  <c r="E91" i="12"/>
  <c r="H91" i="12" s="1"/>
  <c r="K91" i="12" s="1"/>
  <c r="N91" i="12" s="1"/>
  <c r="P90" i="12"/>
  <c r="S90" i="12" s="1"/>
  <c r="V90" i="12" s="1"/>
  <c r="Y90" i="12" s="1"/>
  <c r="F90" i="12"/>
  <c r="I90" i="12" s="1"/>
  <c r="L90" i="12" s="1"/>
  <c r="O90" i="12" s="1"/>
  <c r="E90" i="12"/>
  <c r="H90" i="12" s="1"/>
  <c r="K90" i="12" s="1"/>
  <c r="N90" i="12" s="1"/>
  <c r="P89" i="12"/>
  <c r="S89" i="12" s="1"/>
  <c r="V89" i="12" s="1"/>
  <c r="Y89" i="12" s="1"/>
  <c r="F89" i="12"/>
  <c r="I89" i="12" s="1"/>
  <c r="L89" i="12" s="1"/>
  <c r="O89" i="12" s="1"/>
  <c r="E89" i="12"/>
  <c r="H89" i="12" s="1"/>
  <c r="K89" i="12" s="1"/>
  <c r="N89" i="12" s="1"/>
  <c r="D89" i="12"/>
  <c r="G89" i="12" s="1"/>
  <c r="J89" i="12" s="1"/>
  <c r="M89" i="12" s="1"/>
  <c r="P88" i="12"/>
  <c r="S88" i="12" s="1"/>
  <c r="V88" i="12" s="1"/>
  <c r="Y88" i="12" s="1"/>
  <c r="F88" i="12"/>
  <c r="I88" i="12" s="1"/>
  <c r="L88" i="12" s="1"/>
  <c r="O88" i="12" s="1"/>
  <c r="E88" i="12"/>
  <c r="H88" i="12" s="1"/>
  <c r="K88" i="12" s="1"/>
  <c r="N88" i="12" s="1"/>
  <c r="P87" i="12"/>
  <c r="S87" i="12" s="1"/>
  <c r="V87" i="12" s="1"/>
  <c r="Y87" i="12" s="1"/>
  <c r="F87" i="12"/>
  <c r="I87" i="12" s="1"/>
  <c r="L87" i="12" s="1"/>
  <c r="O87" i="12" s="1"/>
  <c r="E87" i="12"/>
  <c r="H87" i="12" s="1"/>
  <c r="K87" i="12" s="1"/>
  <c r="N87" i="12" s="1"/>
  <c r="P86" i="12"/>
  <c r="S86" i="12" s="1"/>
  <c r="V86" i="12" s="1"/>
  <c r="Y86" i="12" s="1"/>
  <c r="F86" i="12"/>
  <c r="I86" i="12" s="1"/>
  <c r="L86" i="12" s="1"/>
  <c r="O86" i="12" s="1"/>
  <c r="E86" i="12"/>
  <c r="H86" i="12" s="1"/>
  <c r="K86" i="12" s="1"/>
  <c r="N86" i="12" s="1"/>
  <c r="P85" i="12"/>
  <c r="S85" i="12" s="1"/>
  <c r="V85" i="12" s="1"/>
  <c r="Y85" i="12" s="1"/>
  <c r="F85" i="12"/>
  <c r="I85" i="12" s="1"/>
  <c r="L85" i="12" s="1"/>
  <c r="O85" i="12" s="1"/>
  <c r="E85" i="12"/>
  <c r="H85" i="12" s="1"/>
  <c r="K85" i="12" s="1"/>
  <c r="N85" i="12" s="1"/>
  <c r="P84" i="12"/>
  <c r="S84" i="12" s="1"/>
  <c r="V84" i="12" s="1"/>
  <c r="Y84" i="12" s="1"/>
  <c r="F84" i="12"/>
  <c r="I84" i="12" s="1"/>
  <c r="L84" i="12" s="1"/>
  <c r="O84" i="12" s="1"/>
  <c r="E84" i="12"/>
  <c r="H84" i="12" s="1"/>
  <c r="K84" i="12" s="1"/>
  <c r="N84" i="12" s="1"/>
  <c r="P83" i="12"/>
  <c r="S83" i="12" s="1"/>
  <c r="V83" i="12" s="1"/>
  <c r="Y83" i="12" s="1"/>
  <c r="F83" i="12"/>
  <c r="I83" i="12" s="1"/>
  <c r="L83" i="12" s="1"/>
  <c r="O83" i="12" s="1"/>
  <c r="E83" i="12"/>
  <c r="H83" i="12" s="1"/>
  <c r="K83" i="12" s="1"/>
  <c r="N83" i="12" s="1"/>
  <c r="P82" i="12"/>
  <c r="S82" i="12" s="1"/>
  <c r="V82" i="12" s="1"/>
  <c r="Y82" i="12" s="1"/>
  <c r="F82" i="12"/>
  <c r="I82" i="12" s="1"/>
  <c r="L82" i="12" s="1"/>
  <c r="O82" i="12" s="1"/>
  <c r="E82" i="12"/>
  <c r="H82" i="12" s="1"/>
  <c r="K82" i="12" s="1"/>
  <c r="N82" i="12" s="1"/>
  <c r="D82" i="12"/>
  <c r="G82" i="12" s="1"/>
  <c r="J82" i="12" s="1"/>
  <c r="M82" i="12" s="1"/>
  <c r="P81" i="12"/>
  <c r="S81" i="12" s="1"/>
  <c r="V81" i="12" s="1"/>
  <c r="Y81" i="12" s="1"/>
  <c r="F81" i="12"/>
  <c r="I81" i="12" s="1"/>
  <c r="L81" i="12" s="1"/>
  <c r="O81" i="12" s="1"/>
  <c r="E81" i="12"/>
  <c r="H81" i="12" s="1"/>
  <c r="K81" i="12" s="1"/>
  <c r="N81" i="12" s="1"/>
  <c r="D81" i="12"/>
  <c r="G81" i="12" s="1"/>
  <c r="J81" i="12" s="1"/>
  <c r="M81" i="12" s="1"/>
  <c r="P80" i="12"/>
  <c r="S80" i="12" s="1"/>
  <c r="V80" i="12" s="1"/>
  <c r="Y80" i="12" s="1"/>
  <c r="F80" i="12"/>
  <c r="I80" i="12" s="1"/>
  <c r="L80" i="12" s="1"/>
  <c r="O80" i="12" s="1"/>
  <c r="E80" i="12"/>
  <c r="H80" i="12" s="1"/>
  <c r="K80" i="12" s="1"/>
  <c r="N80" i="12" s="1"/>
  <c r="P79" i="12"/>
  <c r="S79" i="12" s="1"/>
  <c r="V79" i="12" s="1"/>
  <c r="Y79" i="12" s="1"/>
  <c r="F79" i="12"/>
  <c r="I79" i="12" s="1"/>
  <c r="L79" i="12" s="1"/>
  <c r="O79" i="12" s="1"/>
  <c r="E79" i="12"/>
  <c r="H79" i="12" s="1"/>
  <c r="K79" i="12" s="1"/>
  <c r="N79" i="12" s="1"/>
  <c r="P78" i="12"/>
  <c r="S78" i="12" s="1"/>
  <c r="V78" i="12" s="1"/>
  <c r="Y78" i="12" s="1"/>
  <c r="F78" i="12"/>
  <c r="I78" i="12" s="1"/>
  <c r="L78" i="12" s="1"/>
  <c r="O78" i="12" s="1"/>
  <c r="E78" i="12"/>
  <c r="H78" i="12" s="1"/>
  <c r="K78" i="12" s="1"/>
  <c r="N78" i="12" s="1"/>
  <c r="P77" i="12"/>
  <c r="S77" i="12" s="1"/>
  <c r="V77" i="12" s="1"/>
  <c r="Y77" i="12" s="1"/>
  <c r="F77" i="12"/>
  <c r="I77" i="12" s="1"/>
  <c r="L77" i="12" s="1"/>
  <c r="O77" i="12" s="1"/>
  <c r="E77" i="12"/>
  <c r="H77" i="12" s="1"/>
  <c r="K77" i="12" s="1"/>
  <c r="N77" i="12" s="1"/>
  <c r="P76" i="12"/>
  <c r="S76" i="12" s="1"/>
  <c r="V76" i="12" s="1"/>
  <c r="Y76" i="12" s="1"/>
  <c r="F76" i="12"/>
  <c r="I76" i="12" s="1"/>
  <c r="L76" i="12" s="1"/>
  <c r="O76" i="12" s="1"/>
  <c r="E76" i="12"/>
  <c r="H76" i="12" s="1"/>
  <c r="K76" i="12" s="1"/>
  <c r="N76" i="12" s="1"/>
  <c r="P75" i="12"/>
  <c r="S75" i="12" s="1"/>
  <c r="V75" i="12" s="1"/>
  <c r="Y75" i="12" s="1"/>
  <c r="F75" i="12"/>
  <c r="I75" i="12" s="1"/>
  <c r="L75" i="12" s="1"/>
  <c r="O75" i="12" s="1"/>
  <c r="E75" i="12"/>
  <c r="H75" i="12" s="1"/>
  <c r="K75" i="12" s="1"/>
  <c r="N75" i="12" s="1"/>
  <c r="P74" i="12"/>
  <c r="S74" i="12" s="1"/>
  <c r="V74" i="12" s="1"/>
  <c r="Y74" i="12" s="1"/>
  <c r="F74" i="12"/>
  <c r="I74" i="12" s="1"/>
  <c r="L74" i="12" s="1"/>
  <c r="O74" i="12" s="1"/>
  <c r="E74" i="12"/>
  <c r="H74" i="12" s="1"/>
  <c r="K74" i="12" s="1"/>
  <c r="N74" i="12" s="1"/>
  <c r="P73" i="12"/>
  <c r="S73" i="12" s="1"/>
  <c r="V73" i="12" s="1"/>
  <c r="Y73" i="12" s="1"/>
  <c r="F73" i="12"/>
  <c r="I73" i="12" s="1"/>
  <c r="L73" i="12" s="1"/>
  <c r="O73" i="12" s="1"/>
  <c r="E73" i="12"/>
  <c r="H73" i="12" s="1"/>
  <c r="K73" i="12" s="1"/>
  <c r="N73" i="12" s="1"/>
  <c r="P72" i="12"/>
  <c r="S72" i="12" s="1"/>
  <c r="V72" i="12" s="1"/>
  <c r="Y72" i="12" s="1"/>
  <c r="F72" i="12"/>
  <c r="I72" i="12" s="1"/>
  <c r="L72" i="12" s="1"/>
  <c r="O72" i="12" s="1"/>
  <c r="E72" i="12"/>
  <c r="H72" i="12" s="1"/>
  <c r="K72" i="12" s="1"/>
  <c r="N72" i="12" s="1"/>
  <c r="P71" i="12"/>
  <c r="S71" i="12" s="1"/>
  <c r="V71" i="12" s="1"/>
  <c r="Y71" i="12" s="1"/>
  <c r="F71" i="12"/>
  <c r="I71" i="12" s="1"/>
  <c r="L71" i="12" s="1"/>
  <c r="O71" i="12" s="1"/>
  <c r="E71" i="12"/>
  <c r="H71" i="12" s="1"/>
  <c r="K71" i="12" s="1"/>
  <c r="N71" i="12" s="1"/>
  <c r="D71" i="12"/>
  <c r="G71" i="12" s="1"/>
  <c r="J71" i="12" s="1"/>
  <c r="M71" i="12" s="1"/>
  <c r="P70" i="12"/>
  <c r="S70" i="12" s="1"/>
  <c r="V70" i="12" s="1"/>
  <c r="Y70" i="12" s="1"/>
  <c r="F70" i="12"/>
  <c r="I70" i="12" s="1"/>
  <c r="L70" i="12" s="1"/>
  <c r="O70" i="12" s="1"/>
  <c r="E70" i="12"/>
  <c r="H70" i="12" s="1"/>
  <c r="K70" i="12" s="1"/>
  <c r="N70" i="12" s="1"/>
  <c r="P69" i="12"/>
  <c r="S69" i="12" s="1"/>
  <c r="V69" i="12" s="1"/>
  <c r="Y69" i="12" s="1"/>
  <c r="F69" i="12"/>
  <c r="I69" i="12" s="1"/>
  <c r="L69" i="12" s="1"/>
  <c r="O69" i="12" s="1"/>
  <c r="E69" i="12"/>
  <c r="H69" i="12" s="1"/>
  <c r="K69" i="12" s="1"/>
  <c r="N69" i="12" s="1"/>
  <c r="P68" i="12"/>
  <c r="S68" i="12" s="1"/>
  <c r="V68" i="12" s="1"/>
  <c r="Y68" i="12" s="1"/>
  <c r="F68" i="12"/>
  <c r="I68" i="12" s="1"/>
  <c r="L68" i="12" s="1"/>
  <c r="O68" i="12" s="1"/>
  <c r="E68" i="12"/>
  <c r="H68" i="12" s="1"/>
  <c r="K68" i="12" s="1"/>
  <c r="N68" i="12" s="1"/>
  <c r="P67" i="12"/>
  <c r="S67" i="12" s="1"/>
  <c r="V67" i="12" s="1"/>
  <c r="Y67" i="12" s="1"/>
  <c r="F67" i="12"/>
  <c r="I67" i="12" s="1"/>
  <c r="L67" i="12" s="1"/>
  <c r="O67" i="12" s="1"/>
  <c r="E67" i="12"/>
  <c r="H67" i="12" s="1"/>
  <c r="K67" i="12" s="1"/>
  <c r="N67" i="12" s="1"/>
  <c r="D67" i="12"/>
  <c r="G67" i="12" s="1"/>
  <c r="J67" i="12" s="1"/>
  <c r="M67" i="12" s="1"/>
  <c r="P66" i="12"/>
  <c r="S66" i="12" s="1"/>
  <c r="V66" i="12" s="1"/>
  <c r="Y66" i="12" s="1"/>
  <c r="F66" i="12"/>
  <c r="I66" i="12" s="1"/>
  <c r="L66" i="12" s="1"/>
  <c r="O66" i="12" s="1"/>
  <c r="E66" i="12"/>
  <c r="H66" i="12" s="1"/>
  <c r="K66" i="12" s="1"/>
  <c r="N66" i="12" s="1"/>
  <c r="D66" i="12"/>
  <c r="G66" i="12" s="1"/>
  <c r="J66" i="12" s="1"/>
  <c r="M66" i="12" s="1"/>
  <c r="P65" i="12"/>
  <c r="S65" i="12" s="1"/>
  <c r="V65" i="12" s="1"/>
  <c r="Y65" i="12" s="1"/>
  <c r="F65" i="12"/>
  <c r="I65" i="12" s="1"/>
  <c r="L65" i="12" s="1"/>
  <c r="O65" i="12" s="1"/>
  <c r="E65" i="12"/>
  <c r="H65" i="12" s="1"/>
  <c r="K65" i="12" s="1"/>
  <c r="N65" i="12" s="1"/>
  <c r="P64" i="12"/>
  <c r="S64" i="12" s="1"/>
  <c r="V64" i="12" s="1"/>
  <c r="Y64" i="12" s="1"/>
  <c r="F64" i="12"/>
  <c r="I64" i="12" s="1"/>
  <c r="L64" i="12" s="1"/>
  <c r="O64" i="12" s="1"/>
  <c r="E64" i="12"/>
  <c r="H64" i="12" s="1"/>
  <c r="K64" i="12" s="1"/>
  <c r="N64" i="12" s="1"/>
  <c r="P63" i="12"/>
  <c r="S63" i="12" s="1"/>
  <c r="V63" i="12" s="1"/>
  <c r="Y63" i="12" s="1"/>
  <c r="F63" i="12"/>
  <c r="I63" i="12" s="1"/>
  <c r="L63" i="12" s="1"/>
  <c r="O63" i="12" s="1"/>
  <c r="E63" i="12"/>
  <c r="H63" i="12" s="1"/>
  <c r="K63" i="12" s="1"/>
  <c r="N63" i="12" s="1"/>
  <c r="D63" i="12"/>
  <c r="G63" i="12" s="1"/>
  <c r="J63" i="12" s="1"/>
  <c r="M63" i="12" s="1"/>
  <c r="E143" i="10"/>
  <c r="D143" i="10"/>
  <c r="C143" i="10"/>
  <c r="E142" i="10"/>
  <c r="D142" i="10"/>
  <c r="C142" i="10"/>
  <c r="E141" i="10"/>
  <c r="D141" i="10"/>
  <c r="C141" i="10"/>
  <c r="E140" i="10"/>
  <c r="D140" i="10"/>
  <c r="C140" i="10"/>
  <c r="E139" i="10"/>
  <c r="D139" i="10"/>
  <c r="C139" i="10"/>
  <c r="E138" i="10"/>
  <c r="D138" i="10"/>
  <c r="C138" i="10"/>
  <c r="E137" i="10"/>
  <c r="D137" i="10"/>
  <c r="C137" i="10"/>
  <c r="E136" i="10"/>
  <c r="D136" i="10"/>
  <c r="C136" i="10"/>
  <c r="E135" i="10"/>
  <c r="D135" i="10"/>
  <c r="C135" i="10"/>
  <c r="E134" i="10"/>
  <c r="D134" i="10"/>
  <c r="C134" i="10"/>
  <c r="E133" i="10"/>
  <c r="D133" i="10"/>
  <c r="C133" i="10"/>
  <c r="E132" i="10"/>
  <c r="D132" i="10"/>
  <c r="C132" i="10"/>
  <c r="E131" i="10"/>
  <c r="D131" i="10"/>
  <c r="C131" i="10"/>
  <c r="E130" i="10"/>
  <c r="D130" i="10"/>
  <c r="C130" i="10"/>
  <c r="E129" i="10"/>
  <c r="D129" i="10"/>
  <c r="C129" i="10"/>
  <c r="E128" i="10"/>
  <c r="D128" i="10"/>
  <c r="C128" i="10"/>
  <c r="E127" i="10"/>
  <c r="D127" i="10"/>
  <c r="C127" i="10"/>
  <c r="E126" i="10"/>
  <c r="D126" i="10"/>
  <c r="C126" i="10"/>
  <c r="E125" i="10"/>
  <c r="D125" i="10"/>
  <c r="C125" i="10"/>
  <c r="E124" i="10"/>
  <c r="D124" i="10"/>
  <c r="C124" i="10"/>
  <c r="E123" i="10"/>
  <c r="D123" i="10"/>
  <c r="C123" i="10"/>
  <c r="E122" i="10"/>
  <c r="D122" i="10"/>
  <c r="C122" i="10"/>
  <c r="E121" i="10"/>
  <c r="D121" i="10"/>
  <c r="C121" i="10"/>
  <c r="E120" i="10"/>
  <c r="D120" i="10"/>
  <c r="C120" i="10"/>
  <c r="E119" i="10"/>
  <c r="D119" i="10"/>
  <c r="C119" i="10"/>
  <c r="E118" i="10"/>
  <c r="D118" i="10"/>
  <c r="C118" i="10"/>
  <c r="E117" i="10"/>
  <c r="D117" i="10"/>
  <c r="C117" i="10"/>
  <c r="E116" i="10"/>
  <c r="D116" i="10"/>
  <c r="C116" i="10"/>
  <c r="E115" i="10"/>
  <c r="D115" i="10"/>
  <c r="C115" i="10"/>
  <c r="E114" i="10"/>
  <c r="D114" i="10"/>
  <c r="C114" i="10"/>
  <c r="E113" i="10"/>
  <c r="D113" i="10"/>
  <c r="C113" i="10"/>
  <c r="E112" i="10"/>
  <c r="D112" i="10"/>
  <c r="C112" i="10"/>
  <c r="E111" i="10"/>
  <c r="D111" i="10"/>
  <c r="C111" i="10"/>
  <c r="E110" i="10"/>
  <c r="D110" i="10"/>
  <c r="C110" i="10"/>
  <c r="E109" i="10"/>
  <c r="D109" i="10"/>
  <c r="C109" i="10"/>
  <c r="E108" i="10"/>
  <c r="D108" i="10"/>
  <c r="C108" i="10"/>
  <c r="E107" i="10"/>
  <c r="D107" i="10"/>
  <c r="C107" i="10"/>
  <c r="E106" i="10"/>
  <c r="D106" i="10"/>
  <c r="C106" i="10"/>
  <c r="E105" i="10"/>
  <c r="D105" i="10"/>
  <c r="C105" i="10"/>
  <c r="E104" i="10"/>
  <c r="D104" i="10"/>
  <c r="C104" i="10"/>
  <c r="E103" i="10"/>
  <c r="D103" i="10"/>
  <c r="C103" i="10"/>
  <c r="E102" i="10"/>
  <c r="D102" i="10"/>
  <c r="C102" i="10"/>
  <c r="E101" i="10"/>
  <c r="D101" i="10"/>
  <c r="C101" i="10"/>
  <c r="E100" i="10"/>
  <c r="D100" i="10"/>
  <c r="C100" i="10"/>
  <c r="E99" i="10"/>
  <c r="D99" i="10"/>
  <c r="C99" i="10"/>
  <c r="E98" i="10"/>
  <c r="D98" i="10"/>
  <c r="C98" i="10"/>
  <c r="E97" i="10"/>
  <c r="D97" i="10"/>
  <c r="C97" i="10"/>
  <c r="E96" i="10"/>
  <c r="D96" i="10"/>
  <c r="C96" i="10"/>
  <c r="E95" i="10"/>
  <c r="D95" i="10"/>
  <c r="C95" i="10"/>
  <c r="E94" i="10"/>
  <c r="D94" i="10"/>
  <c r="C94" i="10"/>
  <c r="E93" i="10"/>
  <c r="D93" i="10"/>
  <c r="C93" i="10"/>
  <c r="E92" i="10"/>
  <c r="D92" i="10"/>
  <c r="C92" i="10"/>
  <c r="E91" i="10"/>
  <c r="D91" i="10"/>
  <c r="C91" i="10"/>
  <c r="E90" i="10"/>
  <c r="D90" i="10"/>
  <c r="C90" i="10"/>
  <c r="E89" i="10"/>
  <c r="D89" i="10"/>
  <c r="C89" i="10"/>
  <c r="E88" i="10"/>
  <c r="D88" i="10"/>
  <c r="C88" i="10"/>
  <c r="E87" i="10"/>
  <c r="D87" i="10"/>
  <c r="C87" i="10"/>
  <c r="E86" i="10"/>
  <c r="D86" i="10"/>
  <c r="C86" i="10"/>
  <c r="E85" i="10"/>
  <c r="D85" i="10"/>
  <c r="C85" i="10"/>
  <c r="E84" i="10"/>
  <c r="D84" i="10"/>
  <c r="C84" i="10"/>
  <c r="E83" i="10"/>
  <c r="D83" i="10"/>
  <c r="C83" i="10"/>
  <c r="E82" i="10"/>
  <c r="D82" i="10"/>
  <c r="C82" i="10"/>
  <c r="E81" i="10"/>
  <c r="D81" i="10"/>
  <c r="C81" i="10"/>
  <c r="E80" i="10"/>
  <c r="D80" i="10"/>
  <c r="C80" i="10"/>
  <c r="E79" i="10"/>
  <c r="D79" i="10"/>
  <c r="C79" i="10"/>
  <c r="E78" i="10"/>
  <c r="D78" i="10"/>
  <c r="C78" i="10"/>
  <c r="E77" i="10"/>
  <c r="D77" i="10"/>
  <c r="C77" i="10"/>
  <c r="E76" i="10"/>
  <c r="D76" i="10"/>
  <c r="C76" i="10"/>
  <c r="E75" i="10"/>
  <c r="D75" i="10"/>
  <c r="C75" i="10"/>
  <c r="E74" i="10"/>
  <c r="D74" i="10"/>
  <c r="C74" i="10"/>
  <c r="E73" i="10"/>
  <c r="D73" i="10"/>
  <c r="C73" i="10"/>
  <c r="E72" i="10"/>
  <c r="D72" i="10"/>
  <c r="C72" i="10"/>
  <c r="E71" i="10"/>
  <c r="D71" i="10"/>
  <c r="C71" i="10"/>
  <c r="E70" i="10"/>
  <c r="D70" i="10"/>
  <c r="C70" i="10"/>
  <c r="E69" i="10"/>
  <c r="D69" i="10"/>
  <c r="C69" i="10"/>
  <c r="E68" i="10"/>
  <c r="D68" i="10"/>
  <c r="C68" i="10"/>
  <c r="E67" i="10"/>
  <c r="D67" i="10"/>
  <c r="C67" i="10"/>
  <c r="E66" i="10"/>
  <c r="D66" i="10"/>
  <c r="C66" i="10"/>
  <c r="E65" i="10"/>
  <c r="D65" i="10"/>
  <c r="C65" i="10"/>
  <c r="E64" i="10"/>
  <c r="D64" i="10"/>
  <c r="C64" i="10"/>
  <c r="E63" i="10"/>
  <c r="D63" i="10"/>
  <c r="C63" i="10"/>
  <c r="E62" i="10"/>
  <c r="D62" i="10"/>
  <c r="C62" i="10"/>
  <c r="E61" i="10"/>
  <c r="D61" i="10"/>
  <c r="C61" i="10"/>
  <c r="E60" i="10"/>
  <c r="D60" i="10"/>
  <c r="C60" i="10"/>
  <c r="E59" i="10"/>
  <c r="D59" i="10"/>
  <c r="C59" i="10"/>
  <c r="E58" i="10"/>
  <c r="D58" i="10"/>
  <c r="C58" i="10"/>
  <c r="E57" i="10"/>
  <c r="D57" i="10"/>
  <c r="C57" i="10"/>
  <c r="E56" i="10"/>
  <c r="D56" i="10"/>
  <c r="C56" i="10"/>
  <c r="E55" i="10"/>
  <c r="D55" i="10"/>
  <c r="C55" i="10"/>
  <c r="E54" i="10"/>
  <c r="D54" i="10"/>
  <c r="C54" i="10"/>
  <c r="E53" i="10"/>
  <c r="D53" i="10"/>
  <c r="C53" i="10"/>
  <c r="E52" i="10"/>
  <c r="D52" i="10"/>
  <c r="C52" i="10"/>
  <c r="E51" i="10"/>
  <c r="D51" i="10"/>
  <c r="C51" i="10"/>
  <c r="E50" i="10"/>
  <c r="D50" i="10"/>
  <c r="C50" i="10"/>
  <c r="E49" i="10"/>
  <c r="D49" i="10"/>
  <c r="C49" i="10"/>
  <c r="F61" i="6"/>
  <c r="E61" i="6"/>
  <c r="D61" i="6"/>
  <c r="F60" i="6"/>
  <c r="E60" i="6"/>
  <c r="D60" i="6"/>
  <c r="F59" i="6"/>
  <c r="E59" i="6"/>
  <c r="D263" i="3"/>
  <c r="B72" i="3"/>
  <c r="B64" i="3"/>
  <c r="D310" i="3"/>
  <c r="E144" i="10"/>
  <c r="D144" i="10"/>
  <c r="C144" i="10"/>
  <c r="P158" i="12"/>
  <c r="S158" i="12" s="1"/>
  <c r="V158" i="12" s="1"/>
  <c r="Y158" i="12" s="1"/>
  <c r="R1" i="7" l="1"/>
  <c r="Q144" i="10"/>
  <c r="P144" i="10"/>
  <c r="O144" i="10"/>
  <c r="K144" i="10"/>
  <c r="J144" i="10"/>
  <c r="I144" i="10"/>
  <c r="Q143" i="10"/>
  <c r="P143" i="10"/>
  <c r="O143" i="10"/>
  <c r="K143" i="10"/>
  <c r="J143" i="10"/>
  <c r="I143" i="10"/>
  <c r="Q142" i="10"/>
  <c r="P142" i="10"/>
  <c r="O142" i="10"/>
  <c r="K142" i="10"/>
  <c r="J142" i="10"/>
  <c r="I142" i="10"/>
  <c r="Q141" i="10"/>
  <c r="P141" i="10"/>
  <c r="O141" i="10"/>
  <c r="K141" i="10"/>
  <c r="J141" i="10"/>
  <c r="I141" i="10"/>
  <c r="Q140" i="10"/>
  <c r="P140" i="10"/>
  <c r="O140" i="10"/>
  <c r="K140" i="10"/>
  <c r="J140" i="10"/>
  <c r="I140" i="10"/>
  <c r="Q139" i="10"/>
  <c r="P139" i="10"/>
  <c r="O139" i="10"/>
  <c r="K139" i="10"/>
  <c r="J139" i="10"/>
  <c r="I139" i="10"/>
  <c r="Q138" i="10"/>
  <c r="P138" i="10"/>
  <c r="O138" i="10"/>
  <c r="K138" i="10"/>
  <c r="J138" i="10"/>
  <c r="I138" i="10"/>
  <c r="Q137" i="10"/>
  <c r="P137" i="10"/>
  <c r="O137" i="10"/>
  <c r="K137" i="10"/>
  <c r="J137" i="10"/>
  <c r="I137" i="10"/>
  <c r="Q136" i="10"/>
  <c r="P136" i="10"/>
  <c r="O136" i="10"/>
  <c r="K136" i="10"/>
  <c r="J136" i="10"/>
  <c r="I136" i="10"/>
  <c r="Q135" i="10"/>
  <c r="P135" i="10"/>
  <c r="O135" i="10"/>
  <c r="K135" i="10"/>
  <c r="J135" i="10"/>
  <c r="I135" i="10"/>
  <c r="Q134" i="10"/>
  <c r="P134" i="10"/>
  <c r="O134" i="10"/>
  <c r="K134" i="10"/>
  <c r="J134" i="10"/>
  <c r="I134" i="10"/>
  <c r="Q133" i="10"/>
  <c r="P133" i="10"/>
  <c r="O133" i="10"/>
  <c r="K133" i="10"/>
  <c r="J133" i="10"/>
  <c r="I133" i="10"/>
  <c r="Q132" i="10"/>
  <c r="P132" i="10"/>
  <c r="O132" i="10"/>
  <c r="K132" i="10"/>
  <c r="J132" i="10"/>
  <c r="I132" i="10"/>
  <c r="Q131" i="10"/>
  <c r="P131" i="10"/>
  <c r="O131" i="10"/>
  <c r="K131" i="10"/>
  <c r="J131" i="10"/>
  <c r="I131" i="10"/>
  <c r="Q130" i="10"/>
  <c r="P130" i="10"/>
  <c r="O130" i="10"/>
  <c r="K130" i="10"/>
  <c r="J130" i="10"/>
  <c r="I130" i="10"/>
  <c r="Q129" i="10"/>
  <c r="P129" i="10"/>
  <c r="O129" i="10"/>
  <c r="K129" i="10"/>
  <c r="J129" i="10"/>
  <c r="I129" i="10"/>
  <c r="Q128" i="10"/>
  <c r="P128" i="10"/>
  <c r="O128" i="10"/>
  <c r="K128" i="10"/>
  <c r="J128" i="10"/>
  <c r="I128" i="10"/>
  <c r="Q127" i="10"/>
  <c r="P127" i="10"/>
  <c r="O127" i="10"/>
  <c r="K127" i="10"/>
  <c r="J127" i="10"/>
  <c r="I127" i="10"/>
  <c r="Q126" i="10"/>
  <c r="P126" i="10"/>
  <c r="O126" i="10"/>
  <c r="K126" i="10"/>
  <c r="J126" i="10"/>
  <c r="I126" i="10"/>
  <c r="Q125" i="10"/>
  <c r="P125" i="10"/>
  <c r="O125" i="10"/>
  <c r="K125" i="10"/>
  <c r="J125" i="10"/>
  <c r="I125" i="10"/>
  <c r="Q124" i="10"/>
  <c r="P124" i="10"/>
  <c r="O124" i="10"/>
  <c r="K124" i="10"/>
  <c r="J124" i="10"/>
  <c r="I124" i="10"/>
  <c r="Q123" i="10"/>
  <c r="P123" i="10"/>
  <c r="O123" i="10"/>
  <c r="K123" i="10"/>
  <c r="J123" i="10"/>
  <c r="I123" i="10"/>
  <c r="Q122" i="10"/>
  <c r="P122" i="10"/>
  <c r="O122" i="10"/>
  <c r="K122" i="10"/>
  <c r="J122" i="10"/>
  <c r="I122" i="10"/>
  <c r="Q121" i="10"/>
  <c r="P121" i="10"/>
  <c r="O121" i="10"/>
  <c r="K121" i="10"/>
  <c r="J121" i="10"/>
  <c r="I121" i="10"/>
  <c r="Q120" i="10"/>
  <c r="P120" i="10"/>
  <c r="O120" i="10"/>
  <c r="K120" i="10"/>
  <c r="J120" i="10"/>
  <c r="I120" i="10"/>
  <c r="Q119" i="10"/>
  <c r="P119" i="10"/>
  <c r="O119" i="10"/>
  <c r="K119" i="10"/>
  <c r="J119" i="10"/>
  <c r="I119" i="10"/>
  <c r="Q118" i="10"/>
  <c r="P118" i="10"/>
  <c r="O118" i="10"/>
  <c r="K118" i="10"/>
  <c r="J118" i="10"/>
  <c r="I118" i="10"/>
  <c r="Q117" i="10"/>
  <c r="P117" i="10"/>
  <c r="O117" i="10"/>
  <c r="K117" i="10"/>
  <c r="J117" i="10"/>
  <c r="I117" i="10"/>
  <c r="Q116" i="10"/>
  <c r="P116" i="10"/>
  <c r="O116" i="10"/>
  <c r="K116" i="10"/>
  <c r="J116" i="10"/>
  <c r="I116" i="10"/>
  <c r="Q115" i="10"/>
  <c r="P115" i="10"/>
  <c r="O115" i="10"/>
  <c r="K115" i="10"/>
  <c r="J115" i="10"/>
  <c r="I115" i="10"/>
  <c r="Q114" i="10"/>
  <c r="P114" i="10"/>
  <c r="O114" i="10"/>
  <c r="K114" i="10"/>
  <c r="J114" i="10"/>
  <c r="I114" i="10"/>
  <c r="Q113" i="10"/>
  <c r="P113" i="10"/>
  <c r="O113" i="10"/>
  <c r="K113" i="10"/>
  <c r="J113" i="10"/>
  <c r="I113" i="10"/>
  <c r="Q112" i="10"/>
  <c r="P112" i="10"/>
  <c r="O112" i="10"/>
  <c r="K112" i="10"/>
  <c r="J112" i="10"/>
  <c r="I112" i="10"/>
  <c r="Q111" i="10"/>
  <c r="P111" i="10"/>
  <c r="O111" i="10"/>
  <c r="K111" i="10"/>
  <c r="J111" i="10"/>
  <c r="I111" i="10"/>
  <c r="Q110" i="10"/>
  <c r="P110" i="10"/>
  <c r="O110" i="10"/>
  <c r="K110" i="10"/>
  <c r="J110" i="10"/>
  <c r="I110" i="10"/>
  <c r="Q109" i="10"/>
  <c r="P109" i="10"/>
  <c r="O109" i="10"/>
  <c r="K109" i="10"/>
  <c r="J109" i="10"/>
  <c r="I109" i="10"/>
  <c r="Q108" i="10"/>
  <c r="P108" i="10"/>
  <c r="O108" i="10"/>
  <c r="K108" i="10"/>
  <c r="J108" i="10"/>
  <c r="I108" i="10"/>
  <c r="Q107" i="10"/>
  <c r="P107" i="10"/>
  <c r="O107" i="10"/>
  <c r="K107" i="10"/>
  <c r="J107" i="10"/>
  <c r="I107" i="10"/>
  <c r="Q106" i="10"/>
  <c r="P106" i="10"/>
  <c r="O106" i="10"/>
  <c r="K106" i="10"/>
  <c r="J106" i="10"/>
  <c r="I106" i="10"/>
  <c r="Q105" i="10"/>
  <c r="P105" i="10"/>
  <c r="O105" i="10"/>
  <c r="K105" i="10"/>
  <c r="J105" i="10"/>
  <c r="I105" i="10"/>
  <c r="Q104" i="10"/>
  <c r="P104" i="10"/>
  <c r="O104" i="10"/>
  <c r="K104" i="10"/>
  <c r="J104" i="10"/>
  <c r="I104" i="10"/>
  <c r="Q103" i="10"/>
  <c r="P103" i="10"/>
  <c r="O103" i="10"/>
  <c r="K103" i="10"/>
  <c r="J103" i="10"/>
  <c r="I103" i="10"/>
  <c r="Q102" i="10"/>
  <c r="P102" i="10"/>
  <c r="O102" i="10"/>
  <c r="K102" i="10"/>
  <c r="J102" i="10"/>
  <c r="I102" i="10"/>
  <c r="Q101" i="10"/>
  <c r="P101" i="10"/>
  <c r="O101" i="10"/>
  <c r="K101" i="10"/>
  <c r="J101" i="10"/>
  <c r="I101" i="10"/>
  <c r="Q100" i="10"/>
  <c r="P100" i="10"/>
  <c r="O100" i="10"/>
  <c r="K100" i="10"/>
  <c r="J100" i="10"/>
  <c r="I100" i="10"/>
  <c r="Q99" i="10"/>
  <c r="P99" i="10"/>
  <c r="O99" i="10"/>
  <c r="K99" i="10"/>
  <c r="J99" i="10"/>
  <c r="I99" i="10"/>
  <c r="Q98" i="10"/>
  <c r="P98" i="10"/>
  <c r="O98" i="10"/>
  <c r="K98" i="10"/>
  <c r="J98" i="10"/>
  <c r="I98" i="10"/>
  <c r="Q97" i="10"/>
  <c r="P97" i="10"/>
  <c r="O97" i="10"/>
  <c r="K97" i="10"/>
  <c r="J97" i="10"/>
  <c r="I97" i="10"/>
  <c r="Q96" i="10"/>
  <c r="P96" i="10"/>
  <c r="O96" i="10"/>
  <c r="K96" i="10"/>
  <c r="J96" i="10"/>
  <c r="I96" i="10"/>
  <c r="Q95" i="10"/>
  <c r="P95" i="10"/>
  <c r="O95" i="10"/>
  <c r="K95" i="10"/>
  <c r="J95" i="10"/>
  <c r="I95" i="10"/>
  <c r="Q94" i="10"/>
  <c r="P94" i="10"/>
  <c r="O94" i="10"/>
  <c r="K94" i="10"/>
  <c r="J94" i="10"/>
  <c r="I94" i="10"/>
  <c r="Q93" i="10"/>
  <c r="P93" i="10"/>
  <c r="O93" i="10"/>
  <c r="K93" i="10"/>
  <c r="J93" i="10"/>
  <c r="I93" i="10"/>
  <c r="Q92" i="10"/>
  <c r="P92" i="10"/>
  <c r="O92" i="10"/>
  <c r="K92" i="10"/>
  <c r="J92" i="10"/>
  <c r="I92" i="10"/>
  <c r="Q91" i="10"/>
  <c r="P91" i="10"/>
  <c r="O91" i="10"/>
  <c r="K91" i="10"/>
  <c r="J91" i="10"/>
  <c r="I91" i="10"/>
  <c r="Q90" i="10"/>
  <c r="P90" i="10"/>
  <c r="O90" i="10"/>
  <c r="K90" i="10"/>
  <c r="J90" i="10"/>
  <c r="I90" i="10"/>
  <c r="Q89" i="10"/>
  <c r="P89" i="10"/>
  <c r="O89" i="10"/>
  <c r="K89" i="10"/>
  <c r="J89" i="10"/>
  <c r="I89" i="10"/>
  <c r="Q88" i="10"/>
  <c r="P88" i="10"/>
  <c r="O88" i="10"/>
  <c r="K88" i="10"/>
  <c r="J88" i="10"/>
  <c r="I88" i="10"/>
  <c r="Q87" i="10"/>
  <c r="P87" i="10"/>
  <c r="O87" i="10"/>
  <c r="K87" i="10"/>
  <c r="J87" i="10"/>
  <c r="I87" i="10"/>
  <c r="Q86" i="10"/>
  <c r="P86" i="10"/>
  <c r="O86" i="10"/>
  <c r="K86" i="10"/>
  <c r="J86" i="10"/>
  <c r="I86" i="10"/>
  <c r="Q85" i="10"/>
  <c r="P85" i="10"/>
  <c r="O85" i="10"/>
  <c r="K85" i="10"/>
  <c r="J85" i="10"/>
  <c r="I85" i="10"/>
  <c r="Q84" i="10"/>
  <c r="P84" i="10"/>
  <c r="O84" i="10"/>
  <c r="K84" i="10"/>
  <c r="J84" i="10"/>
  <c r="I84" i="10"/>
  <c r="Q83" i="10"/>
  <c r="P83" i="10"/>
  <c r="O83" i="10"/>
  <c r="K83" i="10"/>
  <c r="J83" i="10"/>
  <c r="I83" i="10"/>
  <c r="Q82" i="10"/>
  <c r="P82" i="10"/>
  <c r="O82" i="10"/>
  <c r="K82" i="10"/>
  <c r="J82" i="10"/>
  <c r="I82" i="10"/>
  <c r="Q81" i="10"/>
  <c r="P81" i="10"/>
  <c r="O81" i="10"/>
  <c r="K81" i="10"/>
  <c r="J81" i="10"/>
  <c r="I81" i="10"/>
  <c r="Q80" i="10"/>
  <c r="P80" i="10"/>
  <c r="O80" i="10"/>
  <c r="K80" i="10"/>
  <c r="J80" i="10"/>
  <c r="I80" i="10"/>
  <c r="Q79" i="10"/>
  <c r="P79" i="10"/>
  <c r="O79" i="10"/>
  <c r="K79" i="10"/>
  <c r="J79" i="10"/>
  <c r="I79" i="10"/>
  <c r="Q78" i="10"/>
  <c r="P78" i="10"/>
  <c r="O78" i="10"/>
  <c r="K78" i="10"/>
  <c r="J78" i="10"/>
  <c r="I78" i="10"/>
  <c r="Q77" i="10"/>
  <c r="P77" i="10"/>
  <c r="O77" i="10"/>
  <c r="K77" i="10"/>
  <c r="J77" i="10"/>
  <c r="I77" i="10"/>
  <c r="Q76" i="10"/>
  <c r="P76" i="10"/>
  <c r="O76" i="10"/>
  <c r="K76" i="10"/>
  <c r="J76" i="10"/>
  <c r="I76" i="10"/>
  <c r="Q75" i="10"/>
  <c r="P75" i="10"/>
  <c r="O75" i="10"/>
  <c r="K75" i="10"/>
  <c r="J75" i="10"/>
  <c r="I75" i="10"/>
  <c r="Q74" i="10"/>
  <c r="P74" i="10"/>
  <c r="O74" i="10"/>
  <c r="K74" i="10"/>
  <c r="J74" i="10"/>
  <c r="I74" i="10"/>
  <c r="Q73" i="10"/>
  <c r="P73" i="10"/>
  <c r="O73" i="10"/>
  <c r="K73" i="10"/>
  <c r="J73" i="10"/>
  <c r="I73" i="10"/>
  <c r="Q72" i="10"/>
  <c r="P72" i="10"/>
  <c r="O72" i="10"/>
  <c r="K72" i="10"/>
  <c r="J72" i="10"/>
  <c r="I72" i="10"/>
  <c r="Q71" i="10"/>
  <c r="P71" i="10"/>
  <c r="O71" i="10"/>
  <c r="K71" i="10"/>
  <c r="J71" i="10"/>
  <c r="I71" i="10"/>
  <c r="Q70" i="10"/>
  <c r="P70" i="10"/>
  <c r="O70" i="10"/>
  <c r="K70" i="10"/>
  <c r="J70" i="10"/>
  <c r="I70" i="10"/>
  <c r="Q69" i="10"/>
  <c r="P69" i="10"/>
  <c r="O69" i="10"/>
  <c r="K69" i="10"/>
  <c r="J69" i="10"/>
  <c r="I69" i="10"/>
  <c r="Q68" i="10"/>
  <c r="P68" i="10"/>
  <c r="O68" i="10"/>
  <c r="K68" i="10"/>
  <c r="J68" i="10"/>
  <c r="I68" i="10"/>
  <c r="Q67" i="10"/>
  <c r="P67" i="10"/>
  <c r="O67" i="10"/>
  <c r="K67" i="10"/>
  <c r="J67" i="10"/>
  <c r="I67" i="10"/>
  <c r="Q66" i="10"/>
  <c r="P66" i="10"/>
  <c r="O66" i="10"/>
  <c r="K66" i="10"/>
  <c r="J66" i="10"/>
  <c r="I66" i="10"/>
  <c r="Q65" i="10"/>
  <c r="P65" i="10"/>
  <c r="O65" i="10"/>
  <c r="K65" i="10"/>
  <c r="J65" i="10"/>
  <c r="I65" i="10"/>
  <c r="Q64" i="10"/>
  <c r="P64" i="10"/>
  <c r="O64" i="10"/>
  <c r="K64" i="10"/>
  <c r="J64" i="10"/>
  <c r="I64" i="10"/>
  <c r="Q63" i="10"/>
  <c r="P63" i="10"/>
  <c r="O63" i="10"/>
  <c r="K63" i="10"/>
  <c r="J63" i="10"/>
  <c r="I63" i="10"/>
  <c r="Q62" i="10"/>
  <c r="P62" i="10"/>
  <c r="O62" i="10"/>
  <c r="K62" i="10"/>
  <c r="J62" i="10"/>
  <c r="I62" i="10"/>
  <c r="Q61" i="10"/>
  <c r="P61" i="10"/>
  <c r="O61" i="10"/>
  <c r="K61" i="10"/>
  <c r="J61" i="10"/>
  <c r="I61" i="10"/>
  <c r="Q60" i="10"/>
  <c r="P60" i="10"/>
  <c r="O60" i="10"/>
  <c r="K60" i="10"/>
  <c r="J60" i="10"/>
  <c r="I60" i="10"/>
  <c r="Q59" i="10"/>
  <c r="P59" i="10"/>
  <c r="O59" i="10"/>
  <c r="K59" i="10"/>
  <c r="J59" i="10"/>
  <c r="I59" i="10"/>
  <c r="Q58" i="10"/>
  <c r="P58" i="10"/>
  <c r="O58" i="10"/>
  <c r="K58" i="10"/>
  <c r="J58" i="10"/>
  <c r="I58" i="10"/>
  <c r="Q57" i="10"/>
  <c r="P57" i="10"/>
  <c r="O57" i="10"/>
  <c r="K57" i="10"/>
  <c r="J57" i="10"/>
  <c r="I57" i="10"/>
  <c r="Q56" i="10"/>
  <c r="P56" i="10"/>
  <c r="O56" i="10"/>
  <c r="K56" i="10"/>
  <c r="J56" i="10"/>
  <c r="I56" i="10"/>
  <c r="Q55" i="10"/>
  <c r="P55" i="10"/>
  <c r="O55" i="10"/>
  <c r="K55" i="10"/>
  <c r="J55" i="10"/>
  <c r="I55" i="10"/>
  <c r="Q54" i="10"/>
  <c r="P54" i="10"/>
  <c r="O54" i="10"/>
  <c r="K54" i="10"/>
  <c r="J54" i="10"/>
  <c r="I54" i="10"/>
  <c r="Q53" i="10"/>
  <c r="P53" i="10"/>
  <c r="O53" i="10"/>
  <c r="K53" i="10"/>
  <c r="J53" i="10"/>
  <c r="I53" i="10"/>
  <c r="Q52" i="10"/>
  <c r="P52" i="10"/>
  <c r="O52" i="10"/>
  <c r="K52" i="10"/>
  <c r="J52" i="10"/>
  <c r="I52" i="10"/>
  <c r="Q51" i="10"/>
  <c r="P51" i="10"/>
  <c r="O51" i="10"/>
  <c r="K51" i="10"/>
  <c r="J51" i="10"/>
  <c r="I51" i="10"/>
  <c r="Q50" i="10"/>
  <c r="P50" i="10"/>
  <c r="O50" i="10"/>
  <c r="K50" i="10"/>
  <c r="J50" i="10"/>
  <c r="I50" i="10"/>
  <c r="P49" i="10"/>
  <c r="O49" i="10"/>
  <c r="K49" i="10"/>
  <c r="J49" i="10"/>
  <c r="I49" i="10"/>
  <c r="S1" i="7" l="1"/>
  <c r="C72" i="3"/>
  <c r="D72" i="3"/>
  <c r="D64" i="3"/>
  <c r="C64" i="3"/>
  <c r="T1" i="7" l="1"/>
  <c r="Q49" i="10"/>
  <c r="AB79" i="12"/>
  <c r="AE79" i="12" s="1"/>
  <c r="AH79" i="12" s="1"/>
  <c r="AK79" i="12" s="1"/>
  <c r="AB80" i="12"/>
  <c r="AE80" i="12" s="1"/>
  <c r="AH80" i="12" s="1"/>
  <c r="AK80" i="12" s="1"/>
  <c r="AB81" i="12"/>
  <c r="AE81" i="12" s="1"/>
  <c r="AH81" i="12" s="1"/>
  <c r="AK81" i="12" s="1"/>
  <c r="AB82" i="12"/>
  <c r="AE82" i="12" s="1"/>
  <c r="AH82" i="12" s="1"/>
  <c r="AK82" i="12" s="1"/>
  <c r="AB83" i="12"/>
  <c r="AE83" i="12" s="1"/>
  <c r="AH83" i="12" s="1"/>
  <c r="AK83" i="12" s="1"/>
  <c r="AB84" i="12"/>
  <c r="AE84" i="12" s="1"/>
  <c r="AH84" i="12" s="1"/>
  <c r="AK84" i="12" s="1"/>
  <c r="AB85" i="12"/>
  <c r="AE85" i="12" s="1"/>
  <c r="AH85" i="12" s="1"/>
  <c r="AK85" i="12" s="1"/>
  <c r="AB86" i="12"/>
  <c r="AE86" i="12" s="1"/>
  <c r="AH86" i="12" s="1"/>
  <c r="AK86" i="12" s="1"/>
  <c r="AB87" i="12"/>
  <c r="AE87" i="12" s="1"/>
  <c r="AH87" i="12" s="1"/>
  <c r="AK87" i="12" s="1"/>
  <c r="AB88" i="12"/>
  <c r="AE88" i="12" s="1"/>
  <c r="AH88" i="12" s="1"/>
  <c r="AK88" i="12" s="1"/>
  <c r="AB89" i="12"/>
  <c r="AE89" i="12" s="1"/>
  <c r="AH89" i="12" s="1"/>
  <c r="AK89" i="12" s="1"/>
  <c r="AB90" i="12"/>
  <c r="AE90" i="12" s="1"/>
  <c r="AH90" i="12" s="1"/>
  <c r="AK90" i="12" s="1"/>
  <c r="AB91" i="12"/>
  <c r="AE91" i="12" s="1"/>
  <c r="AH91" i="12" s="1"/>
  <c r="AK91" i="12" s="1"/>
  <c r="AB92" i="12"/>
  <c r="AE92" i="12" s="1"/>
  <c r="AH92" i="12" s="1"/>
  <c r="AK92" i="12" s="1"/>
  <c r="AB93" i="12"/>
  <c r="AE93" i="12" s="1"/>
  <c r="AH93" i="12" s="1"/>
  <c r="AK93" i="12" s="1"/>
  <c r="AB94" i="12"/>
  <c r="AE94" i="12" s="1"/>
  <c r="AH94" i="12" s="1"/>
  <c r="AK94" i="12" s="1"/>
  <c r="AB95" i="12"/>
  <c r="AE95" i="12" s="1"/>
  <c r="AH95" i="12" s="1"/>
  <c r="AK95" i="12" s="1"/>
  <c r="AB96" i="12"/>
  <c r="AE96" i="12" s="1"/>
  <c r="AH96" i="12" s="1"/>
  <c r="AK96" i="12" s="1"/>
  <c r="AB97" i="12"/>
  <c r="AE97" i="12" s="1"/>
  <c r="AH97" i="12" s="1"/>
  <c r="AK97" i="12" s="1"/>
  <c r="AB98" i="12"/>
  <c r="AE98" i="12" s="1"/>
  <c r="AH98" i="12" s="1"/>
  <c r="AK98" i="12" s="1"/>
  <c r="AB99" i="12"/>
  <c r="AE99" i="12" s="1"/>
  <c r="AH99" i="12" s="1"/>
  <c r="AK99" i="12" s="1"/>
  <c r="AB100" i="12"/>
  <c r="AE100" i="12" s="1"/>
  <c r="AH100" i="12" s="1"/>
  <c r="AK100" i="12" s="1"/>
  <c r="AB101" i="12"/>
  <c r="AE101" i="12" s="1"/>
  <c r="AH101" i="12" s="1"/>
  <c r="AK101" i="12" s="1"/>
  <c r="AB102" i="12"/>
  <c r="AE102" i="12" s="1"/>
  <c r="AH102" i="12" s="1"/>
  <c r="AK102" i="12" s="1"/>
  <c r="AB103" i="12"/>
  <c r="AE103" i="12" s="1"/>
  <c r="AH103" i="12" s="1"/>
  <c r="AK103" i="12" s="1"/>
  <c r="AB104" i="12"/>
  <c r="AE104" i="12" s="1"/>
  <c r="AH104" i="12" s="1"/>
  <c r="AK104" i="12" s="1"/>
  <c r="AB105" i="12"/>
  <c r="AE105" i="12" s="1"/>
  <c r="AH105" i="12" s="1"/>
  <c r="AK105" i="12" s="1"/>
  <c r="AB106" i="12"/>
  <c r="AE106" i="12" s="1"/>
  <c r="AH106" i="12" s="1"/>
  <c r="AK106" i="12" s="1"/>
  <c r="AB107" i="12"/>
  <c r="AE107" i="12" s="1"/>
  <c r="AH107" i="12" s="1"/>
  <c r="AK107" i="12" s="1"/>
  <c r="AB108" i="12"/>
  <c r="AE108" i="12" s="1"/>
  <c r="AH108" i="12" s="1"/>
  <c r="AK108" i="12" s="1"/>
  <c r="AB109" i="12"/>
  <c r="AE109" i="12" s="1"/>
  <c r="AH109" i="12" s="1"/>
  <c r="AK109" i="12" s="1"/>
  <c r="AB110" i="12"/>
  <c r="AE110" i="12" s="1"/>
  <c r="AH110" i="12" s="1"/>
  <c r="AK110" i="12" s="1"/>
  <c r="AB111" i="12"/>
  <c r="AE111" i="12" s="1"/>
  <c r="AH111" i="12" s="1"/>
  <c r="AK111" i="12" s="1"/>
  <c r="AB112" i="12"/>
  <c r="AE112" i="12" s="1"/>
  <c r="AH112" i="12" s="1"/>
  <c r="AK112" i="12" s="1"/>
  <c r="AB113" i="12"/>
  <c r="AE113" i="12" s="1"/>
  <c r="AH113" i="12" s="1"/>
  <c r="AK113" i="12" s="1"/>
  <c r="AB114" i="12"/>
  <c r="AE114" i="12" s="1"/>
  <c r="AH114" i="12" s="1"/>
  <c r="AK114" i="12" s="1"/>
  <c r="AB115" i="12"/>
  <c r="AE115" i="12" s="1"/>
  <c r="AH115" i="12" s="1"/>
  <c r="AK115" i="12" s="1"/>
  <c r="AB116" i="12"/>
  <c r="AE116" i="12" s="1"/>
  <c r="AH116" i="12" s="1"/>
  <c r="AK116" i="12" s="1"/>
  <c r="AB117" i="12"/>
  <c r="AE117" i="12" s="1"/>
  <c r="AH117" i="12" s="1"/>
  <c r="AK117" i="12" s="1"/>
  <c r="AB118" i="12"/>
  <c r="AE118" i="12" s="1"/>
  <c r="AH118" i="12" s="1"/>
  <c r="AK118" i="12" s="1"/>
  <c r="AB119" i="12"/>
  <c r="AE119" i="12" s="1"/>
  <c r="AH119" i="12" s="1"/>
  <c r="AK119" i="12" s="1"/>
  <c r="AB120" i="12"/>
  <c r="AE120" i="12" s="1"/>
  <c r="AH120" i="12" s="1"/>
  <c r="AK120" i="12" s="1"/>
  <c r="AB121" i="12"/>
  <c r="AE121" i="12" s="1"/>
  <c r="AH121" i="12" s="1"/>
  <c r="AK121" i="12" s="1"/>
  <c r="AB122" i="12"/>
  <c r="AE122" i="12" s="1"/>
  <c r="AH122" i="12" s="1"/>
  <c r="AK122" i="12" s="1"/>
  <c r="AB123" i="12"/>
  <c r="AE123" i="12" s="1"/>
  <c r="AH123" i="12" s="1"/>
  <c r="AK123" i="12" s="1"/>
  <c r="AB124" i="12"/>
  <c r="AE124" i="12" s="1"/>
  <c r="AH124" i="12" s="1"/>
  <c r="AK124" i="12" s="1"/>
  <c r="AB125" i="12"/>
  <c r="AE125" i="12" s="1"/>
  <c r="AH125" i="12" s="1"/>
  <c r="AK125" i="12" s="1"/>
  <c r="AB126" i="12"/>
  <c r="AE126" i="12" s="1"/>
  <c r="AH126" i="12" s="1"/>
  <c r="AK126" i="12" s="1"/>
  <c r="AB127" i="12"/>
  <c r="AE127" i="12" s="1"/>
  <c r="AH127" i="12" s="1"/>
  <c r="AK127" i="12" s="1"/>
  <c r="AB128" i="12"/>
  <c r="AE128" i="12" s="1"/>
  <c r="AH128" i="12" s="1"/>
  <c r="AK128" i="12" s="1"/>
  <c r="AB129" i="12"/>
  <c r="AE129" i="12" s="1"/>
  <c r="AH129" i="12" s="1"/>
  <c r="AK129" i="12" s="1"/>
  <c r="AB130" i="12"/>
  <c r="AE130" i="12" s="1"/>
  <c r="AH130" i="12" s="1"/>
  <c r="AK130" i="12" s="1"/>
  <c r="AB131" i="12"/>
  <c r="AE131" i="12" s="1"/>
  <c r="AH131" i="12" s="1"/>
  <c r="AK131" i="12" s="1"/>
  <c r="AB132" i="12"/>
  <c r="AE132" i="12" s="1"/>
  <c r="AH132" i="12" s="1"/>
  <c r="AK132" i="12" s="1"/>
  <c r="AB133" i="12"/>
  <c r="AE133" i="12" s="1"/>
  <c r="AH133" i="12" s="1"/>
  <c r="AK133" i="12" s="1"/>
  <c r="AB134" i="12"/>
  <c r="AE134" i="12" s="1"/>
  <c r="AH134" i="12" s="1"/>
  <c r="AK134" i="12" s="1"/>
  <c r="AB135" i="12"/>
  <c r="AE135" i="12" s="1"/>
  <c r="AH135" i="12" s="1"/>
  <c r="AK135" i="12" s="1"/>
  <c r="AB136" i="12"/>
  <c r="AE136" i="12" s="1"/>
  <c r="AH136" i="12" s="1"/>
  <c r="AK136" i="12" s="1"/>
  <c r="AB137" i="12"/>
  <c r="AE137" i="12" s="1"/>
  <c r="AH137" i="12" s="1"/>
  <c r="AK137" i="12" s="1"/>
  <c r="AB138" i="12"/>
  <c r="AE138" i="12" s="1"/>
  <c r="AH138" i="12" s="1"/>
  <c r="AK138" i="12" s="1"/>
  <c r="AB139" i="12"/>
  <c r="AE139" i="12" s="1"/>
  <c r="AH139" i="12" s="1"/>
  <c r="AK139" i="12" s="1"/>
  <c r="AB140" i="12"/>
  <c r="AE140" i="12" s="1"/>
  <c r="AH140" i="12" s="1"/>
  <c r="AK140" i="12" s="1"/>
  <c r="AB141" i="12"/>
  <c r="AE141" i="12" s="1"/>
  <c r="AH141" i="12" s="1"/>
  <c r="AK141" i="12" s="1"/>
  <c r="AB142" i="12"/>
  <c r="AE142" i="12" s="1"/>
  <c r="AH142" i="12" s="1"/>
  <c r="AK142" i="12" s="1"/>
  <c r="AB143" i="12"/>
  <c r="AE143" i="12" s="1"/>
  <c r="AH143" i="12" s="1"/>
  <c r="AK143" i="12" s="1"/>
  <c r="AB144" i="12"/>
  <c r="AE144" i="12" s="1"/>
  <c r="AH144" i="12" s="1"/>
  <c r="AK144" i="12" s="1"/>
  <c r="AB145" i="12"/>
  <c r="AE145" i="12" s="1"/>
  <c r="AH145" i="12" s="1"/>
  <c r="AK145" i="12" s="1"/>
  <c r="AB146" i="12"/>
  <c r="AE146" i="12" s="1"/>
  <c r="AH146" i="12" s="1"/>
  <c r="AK146" i="12" s="1"/>
  <c r="AB147" i="12"/>
  <c r="AE147" i="12" s="1"/>
  <c r="AH147" i="12" s="1"/>
  <c r="AK147" i="12" s="1"/>
  <c r="AB148" i="12"/>
  <c r="AE148" i="12" s="1"/>
  <c r="AH148" i="12" s="1"/>
  <c r="AK148" i="12" s="1"/>
  <c r="AB149" i="12"/>
  <c r="AE149" i="12" s="1"/>
  <c r="AH149" i="12" s="1"/>
  <c r="AK149" i="12" s="1"/>
  <c r="AB150" i="12"/>
  <c r="AE150" i="12" s="1"/>
  <c r="AH150" i="12" s="1"/>
  <c r="AK150" i="12" s="1"/>
  <c r="AB151" i="12"/>
  <c r="AE151" i="12" s="1"/>
  <c r="AH151" i="12" s="1"/>
  <c r="AK151" i="12" s="1"/>
  <c r="AB152" i="12"/>
  <c r="AE152" i="12" s="1"/>
  <c r="AH152" i="12" s="1"/>
  <c r="AK152" i="12" s="1"/>
  <c r="AB153" i="12"/>
  <c r="AE153" i="12" s="1"/>
  <c r="AH153" i="12" s="1"/>
  <c r="AK153" i="12" s="1"/>
  <c r="AB154" i="12"/>
  <c r="AE154" i="12" s="1"/>
  <c r="AH154" i="12" s="1"/>
  <c r="AK154" i="12" s="1"/>
  <c r="AB155" i="12"/>
  <c r="AE155" i="12" s="1"/>
  <c r="AH155" i="12" s="1"/>
  <c r="AK155" i="12" s="1"/>
  <c r="AB156" i="12"/>
  <c r="AE156" i="12" s="1"/>
  <c r="AH156" i="12" s="1"/>
  <c r="AK156" i="12" s="1"/>
  <c r="AB157" i="12"/>
  <c r="AE157" i="12" s="1"/>
  <c r="AH157" i="12" s="1"/>
  <c r="AK157" i="12" s="1"/>
  <c r="AD157" i="12"/>
  <c r="AG157" i="12" s="1"/>
  <c r="AJ157" i="12" s="1"/>
  <c r="AM157" i="12" s="1"/>
  <c r="AB158" i="12"/>
  <c r="AE158" i="12" s="1"/>
  <c r="AH158" i="12" s="1"/>
  <c r="AK158" i="12" s="1"/>
  <c r="AC158" i="12"/>
  <c r="AF158" i="12" s="1"/>
  <c r="AI158" i="12" s="1"/>
  <c r="AL158" i="12" s="1"/>
  <c r="AC138" i="12"/>
  <c r="AF138" i="12" s="1"/>
  <c r="AI138" i="12" s="1"/>
  <c r="AL138" i="12" s="1"/>
  <c r="AC64" i="12"/>
  <c r="AF64" i="12" s="1"/>
  <c r="AI64" i="12" s="1"/>
  <c r="AL64" i="12" s="1"/>
  <c r="AD132" i="12" l="1"/>
  <c r="AG132" i="12" s="1"/>
  <c r="AJ132" i="12" s="1"/>
  <c r="AM132" i="12" s="1"/>
  <c r="AD138" i="12"/>
  <c r="AG138" i="12" s="1"/>
  <c r="AJ138" i="12" s="1"/>
  <c r="AM138" i="12" s="1"/>
  <c r="AC139" i="12"/>
  <c r="AF139" i="12" s="1"/>
  <c r="AI139" i="12" s="1"/>
  <c r="AL139" i="12" s="1"/>
  <c r="AC131" i="12"/>
  <c r="AF131" i="12" s="1"/>
  <c r="AI131" i="12" s="1"/>
  <c r="AL131" i="12" s="1"/>
  <c r="AC155" i="12"/>
  <c r="AF155" i="12" s="1"/>
  <c r="AI155" i="12" s="1"/>
  <c r="AL155" i="12" s="1"/>
  <c r="AC157" i="12"/>
  <c r="AF157" i="12" s="1"/>
  <c r="AI157" i="12" s="1"/>
  <c r="AL157" i="12" s="1"/>
  <c r="AC141" i="12"/>
  <c r="AF141" i="12" s="1"/>
  <c r="AI141" i="12" s="1"/>
  <c r="AL141" i="12" s="1"/>
  <c r="AC95" i="12"/>
  <c r="AF95" i="12" s="1"/>
  <c r="AI95" i="12" s="1"/>
  <c r="AL95" i="12" s="1"/>
  <c r="AD155" i="12"/>
  <c r="AG155" i="12" s="1"/>
  <c r="AJ155" i="12" s="1"/>
  <c r="AM155" i="12" s="1"/>
  <c r="AD158" i="12"/>
  <c r="AG158" i="12" s="1"/>
  <c r="AJ158" i="12" s="1"/>
  <c r="AM158" i="12" s="1"/>
  <c r="AD156" i="12"/>
  <c r="AG156" i="12" s="1"/>
  <c r="AJ156" i="12" s="1"/>
  <c r="AM156" i="12" s="1"/>
  <c r="R71" i="12" l="1"/>
  <c r="U71" i="12" s="1"/>
  <c r="X71" i="12" s="1"/>
  <c r="AA71" i="12" s="1"/>
  <c r="Q74" i="12"/>
  <c r="T74" i="12" s="1"/>
  <c r="W74" i="12" s="1"/>
  <c r="Z74" i="12" s="1"/>
  <c r="R81" i="12"/>
  <c r="U81" i="12" s="1"/>
  <c r="X81" i="12" s="1"/>
  <c r="AA81" i="12" s="1"/>
  <c r="Q82" i="12"/>
  <c r="T82" i="12" s="1"/>
  <c r="W82" i="12" s="1"/>
  <c r="Z82" i="12" s="1"/>
  <c r="Q83" i="12"/>
  <c r="T83" i="12" s="1"/>
  <c r="W83" i="12" s="1"/>
  <c r="Z83" i="12" s="1"/>
  <c r="R85" i="12"/>
  <c r="U85" i="12" s="1"/>
  <c r="X85" i="12" s="1"/>
  <c r="AA85" i="12" s="1"/>
  <c r="Q111" i="12"/>
  <c r="T111" i="12" s="1"/>
  <c r="W111" i="12" s="1"/>
  <c r="Z111" i="12" s="1"/>
  <c r="Q113" i="12"/>
  <c r="T113" i="12" s="1"/>
  <c r="W113" i="12" s="1"/>
  <c r="Z113" i="12" s="1"/>
  <c r="R116" i="12"/>
  <c r="U116" i="12" s="1"/>
  <c r="X116" i="12" s="1"/>
  <c r="AA116" i="12" s="1"/>
  <c r="Q121" i="12"/>
  <c r="T121" i="12" s="1"/>
  <c r="W121" i="12" s="1"/>
  <c r="Z121" i="12" s="1"/>
  <c r="R128" i="12"/>
  <c r="U128" i="12" s="1"/>
  <c r="X128" i="12" s="1"/>
  <c r="AA128" i="12" s="1"/>
  <c r="Q129" i="12"/>
  <c r="T129" i="12" s="1"/>
  <c r="W129" i="12" s="1"/>
  <c r="Z129" i="12" s="1"/>
  <c r="Q138" i="12"/>
  <c r="T138" i="12" s="1"/>
  <c r="W138" i="12" s="1"/>
  <c r="Z138" i="12" s="1"/>
  <c r="R138" i="12"/>
  <c r="U138" i="12" s="1"/>
  <c r="X138" i="12" s="1"/>
  <c r="AA138" i="12" s="1"/>
  <c r="Q142" i="12"/>
  <c r="T142" i="12" s="1"/>
  <c r="W142" i="12" s="1"/>
  <c r="Z142" i="12" s="1"/>
  <c r="R142" i="12"/>
  <c r="U142" i="12" s="1"/>
  <c r="X142" i="12" s="1"/>
  <c r="AA142" i="12" s="1"/>
  <c r="R148" i="12"/>
  <c r="U148" i="12" s="1"/>
  <c r="X148" i="12" s="1"/>
  <c r="AA148" i="12" s="1"/>
  <c r="Q150" i="12"/>
  <c r="T150" i="12" s="1"/>
  <c r="W150" i="12" s="1"/>
  <c r="Z150" i="12" s="1"/>
  <c r="Q153" i="12"/>
  <c r="T153" i="12" s="1"/>
  <c r="W153" i="12" s="1"/>
  <c r="Z153" i="12" s="1"/>
  <c r="R153" i="12"/>
  <c r="U153" i="12" s="1"/>
  <c r="X153" i="12" s="1"/>
  <c r="AA153" i="12" s="1"/>
  <c r="Q155" i="12"/>
  <c r="T155" i="12" s="1"/>
  <c r="W155" i="12" s="1"/>
  <c r="Z155" i="12" s="1"/>
  <c r="R155" i="12"/>
  <c r="U155" i="12" s="1"/>
  <c r="X155" i="12" s="1"/>
  <c r="AA155" i="12" s="1"/>
  <c r="Q156" i="12"/>
  <c r="T156" i="12" s="1"/>
  <c r="W156" i="12" s="1"/>
  <c r="Z156" i="12" s="1"/>
  <c r="R156" i="12"/>
  <c r="U156" i="12" s="1"/>
  <c r="X156" i="12" s="1"/>
  <c r="AA156" i="12" s="1"/>
  <c r="Q157" i="12"/>
  <c r="T157" i="12" s="1"/>
  <c r="W157" i="12" s="1"/>
  <c r="Z157" i="12" s="1"/>
  <c r="R157" i="12"/>
  <c r="U157" i="12" s="1"/>
  <c r="X157" i="12" s="1"/>
  <c r="AA157" i="12" s="1"/>
  <c r="Q68" i="12"/>
  <c r="T68" i="12" s="1"/>
  <c r="W68" i="12" s="1"/>
  <c r="Z68" i="12" s="1"/>
  <c r="Q69" i="12"/>
  <c r="T69" i="12" s="1"/>
  <c r="W69" i="12" s="1"/>
  <c r="Z69" i="12" s="1"/>
  <c r="D305" i="3" l="1"/>
  <c r="C305" i="3"/>
  <c r="B305" i="3"/>
  <c r="C158" i="12" l="1"/>
  <c r="C154" i="12"/>
  <c r="C150" i="12"/>
  <c r="C146" i="12"/>
  <c r="C142" i="12"/>
  <c r="C138" i="12"/>
  <c r="C134" i="12"/>
  <c r="C130" i="12"/>
  <c r="C126" i="12"/>
  <c r="C122" i="12"/>
  <c r="C118" i="12"/>
  <c r="C114" i="12"/>
  <c r="C110" i="12"/>
  <c r="C106" i="12"/>
  <c r="C102" i="12"/>
  <c r="C98" i="12"/>
  <c r="C94" i="12"/>
  <c r="C90" i="12"/>
  <c r="C86" i="12"/>
  <c r="C82" i="12"/>
  <c r="C78" i="12"/>
  <c r="C74" i="12"/>
  <c r="C70" i="12"/>
  <c r="C66" i="12"/>
  <c r="C153" i="12"/>
  <c r="C148" i="12"/>
  <c r="C143" i="12"/>
  <c r="C137" i="12"/>
  <c r="C132" i="12"/>
  <c r="C127" i="12"/>
  <c r="C121" i="12"/>
  <c r="C116" i="12"/>
  <c r="C111" i="12"/>
  <c r="C105" i="12"/>
  <c r="C100" i="12"/>
  <c r="C95" i="12"/>
  <c r="C89" i="12"/>
  <c r="C84" i="12"/>
  <c r="C79" i="12"/>
  <c r="C73" i="12"/>
  <c r="C68" i="12"/>
  <c r="C63" i="12"/>
  <c r="C157" i="12"/>
  <c r="C151" i="12"/>
  <c r="C144" i="12"/>
  <c r="C136" i="12"/>
  <c r="C129" i="12"/>
  <c r="C123" i="12"/>
  <c r="C115" i="12"/>
  <c r="C108" i="12"/>
  <c r="C101" i="12"/>
  <c r="C93" i="12"/>
  <c r="C87" i="12"/>
  <c r="C80" i="12"/>
  <c r="C72" i="12"/>
  <c r="C65" i="12"/>
  <c r="C149" i="12"/>
  <c r="C140" i="12"/>
  <c r="C131" i="12"/>
  <c r="C120" i="12"/>
  <c r="C112" i="12"/>
  <c r="C103" i="12"/>
  <c r="C92" i="12"/>
  <c r="C83" i="12"/>
  <c r="C75" i="12"/>
  <c r="C64" i="12"/>
  <c r="C156" i="12"/>
  <c r="C147" i="12"/>
  <c r="C139" i="12"/>
  <c r="C128" i="12"/>
  <c r="C119" i="12"/>
  <c r="C109" i="12"/>
  <c r="C99" i="12"/>
  <c r="C91" i="12"/>
  <c r="C81" i="12"/>
  <c r="C71" i="12"/>
  <c r="C155" i="12"/>
  <c r="C135" i="12"/>
  <c r="C117" i="12"/>
  <c r="C97" i="12"/>
  <c r="C77" i="12"/>
  <c r="C152" i="12"/>
  <c r="C133" i="12"/>
  <c r="C113" i="12"/>
  <c r="C96" i="12"/>
  <c r="C76" i="12"/>
  <c r="C145" i="12"/>
  <c r="C125" i="12"/>
  <c r="C107" i="12"/>
  <c r="C88" i="12"/>
  <c r="C69" i="12"/>
  <c r="C85" i="12"/>
  <c r="C141" i="12"/>
  <c r="C67" i="12"/>
  <c r="C124" i="12"/>
  <c r="C104" i="12"/>
  <c r="B117" i="3"/>
  <c r="D35" i="12" l="1"/>
  <c r="D38" i="12" s="1"/>
  <c r="E34" i="12"/>
  <c r="E37" i="12" s="1"/>
  <c r="D34" i="12"/>
  <c r="D37" i="12" s="1"/>
  <c r="E36" i="12"/>
  <c r="E39" i="12" s="1"/>
  <c r="E35" i="12"/>
  <c r="E38" i="12" s="1"/>
  <c r="D36" i="12"/>
  <c r="D39" i="12" s="1"/>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D277" i="3"/>
  <c r="D276" i="3"/>
  <c r="D275" i="3"/>
  <c r="C277" i="3"/>
  <c r="C276" i="3"/>
  <c r="C275" i="3"/>
  <c r="B277" i="3"/>
  <c r="B276" i="3"/>
  <c r="B275" i="3"/>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F80" i="6"/>
  <c r="E80" i="6"/>
  <c r="D80" i="6"/>
  <c r="F79" i="6"/>
  <c r="E79" i="6"/>
  <c r="D79" i="6"/>
  <c r="F78" i="6"/>
  <c r="E78" i="6"/>
  <c r="D78" i="6"/>
  <c r="M160" i="6"/>
  <c r="L107" i="6"/>
  <c r="K123" i="6"/>
  <c r="O142" i="6" l="1"/>
  <c r="O97" i="6"/>
  <c r="P107" i="6"/>
  <c r="P97" i="6"/>
  <c r="N143" i="6"/>
  <c r="N97" i="6"/>
  <c r="H140" i="10"/>
  <c r="H135" i="10"/>
  <c r="H132" i="10"/>
  <c r="H127" i="10"/>
  <c r="H124" i="10"/>
  <c r="H119" i="10"/>
  <c r="H116" i="10"/>
  <c r="H111" i="10"/>
  <c r="H108" i="10"/>
  <c r="H103" i="10"/>
  <c r="H100" i="10"/>
  <c r="H95" i="10"/>
  <c r="H92" i="10"/>
  <c r="H87" i="10"/>
  <c r="H84" i="10"/>
  <c r="H79" i="10"/>
  <c r="H76" i="10"/>
  <c r="H71" i="10"/>
  <c r="H68" i="10"/>
  <c r="H63" i="10"/>
  <c r="H60" i="10"/>
  <c r="H55" i="10"/>
  <c r="H52" i="10"/>
  <c r="H141" i="10"/>
  <c r="H136" i="10"/>
  <c r="H131" i="10"/>
  <c r="H126" i="10"/>
  <c r="H122" i="10"/>
  <c r="H113" i="10"/>
  <c r="H109" i="10"/>
  <c r="H104" i="10"/>
  <c r="H99" i="10"/>
  <c r="H94" i="10"/>
  <c r="H90" i="10"/>
  <c r="H81" i="10"/>
  <c r="H77" i="10"/>
  <c r="H72" i="10"/>
  <c r="H67" i="10"/>
  <c r="H62" i="10"/>
  <c r="H58" i="10"/>
  <c r="H49" i="10"/>
  <c r="H123" i="10"/>
  <c r="H121" i="10"/>
  <c r="H115" i="10"/>
  <c r="H105" i="10"/>
  <c r="H102" i="10"/>
  <c r="H96" i="10"/>
  <c r="H93" i="10"/>
  <c r="H85" i="10"/>
  <c r="H74" i="10"/>
  <c r="H65" i="10"/>
  <c r="H54" i="10"/>
  <c r="H144" i="10"/>
  <c r="H142" i="10"/>
  <c r="H139" i="10"/>
  <c r="H128" i="10"/>
  <c r="H125" i="10"/>
  <c r="H117" i="10"/>
  <c r="H114" i="10"/>
  <c r="H112" i="10"/>
  <c r="H101" i="10"/>
  <c r="H98" i="10"/>
  <c r="H86" i="10"/>
  <c r="H82" i="10"/>
  <c r="H80" i="10"/>
  <c r="H75" i="10"/>
  <c r="H73" i="10"/>
  <c r="H70" i="10"/>
  <c r="H50" i="10"/>
  <c r="H138" i="10"/>
  <c r="H110" i="10"/>
  <c r="H107" i="10"/>
  <c r="H97" i="10"/>
  <c r="H78" i="10"/>
  <c r="H61" i="10"/>
  <c r="H137" i="10"/>
  <c r="H134" i="10"/>
  <c r="H133" i="10"/>
  <c r="H130" i="10"/>
  <c r="H120" i="10"/>
  <c r="H106" i="10"/>
  <c r="H91" i="10"/>
  <c r="H89" i="10"/>
  <c r="H69" i="10"/>
  <c r="H66" i="10"/>
  <c r="H64" i="10"/>
  <c r="H59" i="10"/>
  <c r="H57" i="10"/>
  <c r="H53" i="10"/>
  <c r="H143" i="10"/>
  <c r="H88" i="10"/>
  <c r="H56" i="10"/>
  <c r="H129" i="10"/>
  <c r="H83" i="10"/>
  <c r="H51" i="10"/>
  <c r="H118" i="10"/>
  <c r="F191" i="6"/>
  <c r="F190" i="6"/>
  <c r="F188" i="6"/>
  <c r="F187" i="6"/>
  <c r="F185" i="6"/>
  <c r="F176" i="6"/>
  <c r="F175" i="6"/>
  <c r="F168" i="6"/>
  <c r="F167" i="6"/>
  <c r="F160" i="6"/>
  <c r="F159" i="6"/>
  <c r="F152" i="6"/>
  <c r="F151" i="6"/>
  <c r="F144" i="6"/>
  <c r="F143" i="6"/>
  <c r="F136" i="6"/>
  <c r="F135" i="6"/>
  <c r="F128" i="6"/>
  <c r="F127" i="6"/>
  <c r="F120" i="6"/>
  <c r="F119" i="6"/>
  <c r="F113" i="6"/>
  <c r="F111" i="6"/>
  <c r="F109" i="6"/>
  <c r="F107" i="6"/>
  <c r="F105" i="6"/>
  <c r="F103" i="6"/>
  <c r="F101" i="6"/>
  <c r="F99" i="6"/>
  <c r="F97" i="6"/>
  <c r="F192" i="6"/>
  <c r="F189" i="6"/>
  <c r="F183" i="6"/>
  <c r="F177" i="6"/>
  <c r="F171" i="6"/>
  <c r="F170" i="6"/>
  <c r="F165" i="6"/>
  <c r="F164" i="6"/>
  <c r="F158" i="6"/>
  <c r="F145" i="6"/>
  <c r="F139" i="6"/>
  <c r="F138" i="6"/>
  <c r="F133" i="6"/>
  <c r="F132" i="6"/>
  <c r="F126" i="6"/>
  <c r="F106" i="6"/>
  <c r="F98" i="6"/>
  <c r="F179" i="6"/>
  <c r="F178" i="6"/>
  <c r="F173" i="6"/>
  <c r="F172" i="6"/>
  <c r="F166" i="6"/>
  <c r="F153" i="6"/>
  <c r="F147" i="6"/>
  <c r="F146" i="6"/>
  <c r="F141" i="6"/>
  <c r="F140" i="6"/>
  <c r="F134" i="6"/>
  <c r="F121" i="6"/>
  <c r="F115" i="6"/>
  <c r="F114" i="6"/>
  <c r="F112" i="6"/>
  <c r="F104" i="6"/>
  <c r="F186" i="6"/>
  <c r="F184" i="6"/>
  <c r="F181" i="6"/>
  <c r="F180" i="6"/>
  <c r="F174" i="6"/>
  <c r="F161" i="6"/>
  <c r="F155" i="6"/>
  <c r="F154" i="6"/>
  <c r="F149" i="6"/>
  <c r="F148" i="6"/>
  <c r="F142" i="6"/>
  <c r="F129" i="6"/>
  <c r="F123" i="6"/>
  <c r="F122" i="6"/>
  <c r="F117" i="6"/>
  <c r="F116" i="6"/>
  <c r="F110" i="6"/>
  <c r="F182" i="6"/>
  <c r="F163" i="6"/>
  <c r="F130" i="6"/>
  <c r="F125" i="6"/>
  <c r="F108" i="6"/>
  <c r="F162" i="6"/>
  <c r="F157" i="6"/>
  <c r="F124" i="6"/>
  <c r="F102" i="6"/>
  <c r="F156" i="6"/>
  <c r="F137" i="6"/>
  <c r="F118" i="6"/>
  <c r="F100" i="6"/>
  <c r="F169" i="6"/>
  <c r="F150" i="6"/>
  <c r="F131" i="6"/>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7" i="10"/>
  <c r="L113" i="10"/>
  <c r="L109" i="10"/>
  <c r="L105" i="10"/>
  <c r="L101" i="10"/>
  <c r="L97" i="10"/>
  <c r="L93" i="10"/>
  <c r="L89" i="10"/>
  <c r="L85" i="10"/>
  <c r="L81" i="10"/>
  <c r="L77" i="10"/>
  <c r="L73" i="10"/>
  <c r="L69" i="10"/>
  <c r="L65" i="10"/>
  <c r="L61" i="10"/>
  <c r="L57" i="10"/>
  <c r="L53" i="10"/>
  <c r="L49" i="10"/>
  <c r="L116" i="10"/>
  <c r="L112" i="10"/>
  <c r="L108" i="10"/>
  <c r="L104" i="10"/>
  <c r="L100" i="10"/>
  <c r="L96" i="10"/>
  <c r="L92" i="10"/>
  <c r="L88" i="10"/>
  <c r="L84" i="10"/>
  <c r="L80" i="10"/>
  <c r="L76" i="10"/>
  <c r="L72" i="10"/>
  <c r="L68" i="10"/>
  <c r="L64" i="10"/>
  <c r="L60" i="10"/>
  <c r="L56" i="10"/>
  <c r="L52" i="10"/>
  <c r="L115" i="10"/>
  <c r="L111" i="10"/>
  <c r="L107" i="10"/>
  <c r="L103" i="10"/>
  <c r="L99" i="10"/>
  <c r="L95" i="10"/>
  <c r="L91" i="10"/>
  <c r="L87" i="10"/>
  <c r="L83" i="10"/>
  <c r="L79" i="10"/>
  <c r="L75" i="10"/>
  <c r="L71" i="10"/>
  <c r="L67" i="10"/>
  <c r="L63" i="10"/>
  <c r="L59" i="10"/>
  <c r="L55" i="10"/>
  <c r="L51" i="10"/>
  <c r="L118" i="10"/>
  <c r="L114" i="10"/>
  <c r="L110" i="10"/>
  <c r="L106" i="10"/>
  <c r="L102" i="10"/>
  <c r="L98" i="10"/>
  <c r="L94" i="10"/>
  <c r="L90" i="10"/>
  <c r="L86" i="10"/>
  <c r="L82" i="10"/>
  <c r="L78" i="10"/>
  <c r="L74" i="10"/>
  <c r="L70" i="10"/>
  <c r="L66" i="10"/>
  <c r="L62" i="10"/>
  <c r="L58" i="10"/>
  <c r="L54" i="10"/>
  <c r="L50" i="10"/>
  <c r="G190" i="6"/>
  <c r="G188" i="6"/>
  <c r="G186" i="6"/>
  <c r="G184" i="6"/>
  <c r="G189" i="6"/>
  <c r="G181" i="6"/>
  <c r="G179" i="6"/>
  <c r="G177" i="6"/>
  <c r="G175" i="6"/>
  <c r="G173" i="6"/>
  <c r="G171" i="6"/>
  <c r="G169" i="6"/>
  <c r="G167" i="6"/>
  <c r="G165" i="6"/>
  <c r="G163" i="6"/>
  <c r="G161" i="6"/>
  <c r="G159" i="6"/>
  <c r="G157" i="6"/>
  <c r="G155" i="6"/>
  <c r="G153" i="6"/>
  <c r="G151" i="6"/>
  <c r="G149" i="6"/>
  <c r="G147" i="6"/>
  <c r="G145" i="6"/>
  <c r="G143" i="6"/>
  <c r="G141" i="6"/>
  <c r="G139" i="6"/>
  <c r="G137" i="6"/>
  <c r="G135" i="6"/>
  <c r="G133" i="6"/>
  <c r="G131" i="6"/>
  <c r="G129" i="6"/>
  <c r="G127" i="6"/>
  <c r="G125" i="6"/>
  <c r="G123" i="6"/>
  <c r="G121" i="6"/>
  <c r="G119" i="6"/>
  <c r="G117" i="6"/>
  <c r="G115" i="6"/>
  <c r="G191" i="6"/>
  <c r="G183" i="6"/>
  <c r="G182" i="6"/>
  <c r="G174" i="6"/>
  <c r="G166" i="6"/>
  <c r="G158" i="6"/>
  <c r="G150" i="6"/>
  <c r="G142" i="6"/>
  <c r="G134" i="6"/>
  <c r="G126" i="6"/>
  <c r="G118" i="6"/>
  <c r="G187" i="6"/>
  <c r="G185" i="6"/>
  <c r="G178" i="6"/>
  <c r="G172" i="6"/>
  <c r="G152" i="6"/>
  <c r="G146" i="6"/>
  <c r="G140" i="6"/>
  <c r="G120" i="6"/>
  <c r="G114" i="6"/>
  <c r="G113" i="6"/>
  <c r="G112" i="6"/>
  <c r="G105" i="6"/>
  <c r="G104" i="6"/>
  <c r="G97" i="6"/>
  <c r="G180" i="6"/>
  <c r="G160" i="6"/>
  <c r="G154" i="6"/>
  <c r="G148" i="6"/>
  <c r="G128" i="6"/>
  <c r="G122" i="6"/>
  <c r="G116" i="6"/>
  <c r="G111" i="6"/>
  <c r="G110" i="6"/>
  <c r="G103" i="6"/>
  <c r="G102" i="6"/>
  <c r="G168" i="6"/>
  <c r="G162" i="6"/>
  <c r="G156" i="6"/>
  <c r="G136" i="6"/>
  <c r="G130" i="6"/>
  <c r="G124" i="6"/>
  <c r="G109" i="6"/>
  <c r="G108" i="6"/>
  <c r="G144" i="6"/>
  <c r="G106" i="6"/>
  <c r="G99" i="6"/>
  <c r="G176" i="6"/>
  <c r="G138" i="6"/>
  <c r="G100" i="6"/>
  <c r="G192" i="6"/>
  <c r="G170" i="6"/>
  <c r="G132" i="6"/>
  <c r="G107" i="6"/>
  <c r="G98" i="6"/>
  <c r="G164" i="6"/>
  <c r="G101" i="6"/>
  <c r="I189" i="6"/>
  <c r="I187" i="6"/>
  <c r="I185" i="6"/>
  <c r="I183" i="6"/>
  <c r="I186" i="6"/>
  <c r="I190" i="6"/>
  <c r="I184" i="6"/>
  <c r="I182" i="6"/>
  <c r="I180" i="6"/>
  <c r="I178" i="6"/>
  <c r="I176" i="6"/>
  <c r="I174" i="6"/>
  <c r="I172" i="6"/>
  <c r="I170" i="6"/>
  <c r="I168" i="6"/>
  <c r="I166" i="6"/>
  <c r="I164" i="6"/>
  <c r="I162" i="6"/>
  <c r="I160" i="6"/>
  <c r="I158" i="6"/>
  <c r="I156" i="6"/>
  <c r="I154" i="6"/>
  <c r="I152" i="6"/>
  <c r="I150" i="6"/>
  <c r="I148" i="6"/>
  <c r="I146" i="6"/>
  <c r="I144" i="6"/>
  <c r="I142" i="6"/>
  <c r="I140" i="6"/>
  <c r="I138" i="6"/>
  <c r="I136" i="6"/>
  <c r="I134" i="6"/>
  <c r="I132" i="6"/>
  <c r="I130" i="6"/>
  <c r="I128" i="6"/>
  <c r="I126" i="6"/>
  <c r="I124" i="6"/>
  <c r="I122" i="6"/>
  <c r="I120" i="6"/>
  <c r="I118" i="6"/>
  <c r="I116" i="6"/>
  <c r="I114" i="6"/>
  <c r="I179" i="6"/>
  <c r="I171" i="6"/>
  <c r="I163" i="6"/>
  <c r="I155" i="6"/>
  <c r="I147" i="6"/>
  <c r="I139" i="6"/>
  <c r="I131" i="6"/>
  <c r="I123" i="6"/>
  <c r="I115" i="6"/>
  <c r="I173" i="6"/>
  <c r="I167" i="6"/>
  <c r="I161" i="6"/>
  <c r="I141" i="6"/>
  <c r="I135" i="6"/>
  <c r="I129" i="6"/>
  <c r="I110" i="6"/>
  <c r="I109" i="6"/>
  <c r="I102" i="6"/>
  <c r="I101" i="6"/>
  <c r="I192" i="6"/>
  <c r="I181" i="6"/>
  <c r="I175" i="6"/>
  <c r="I169" i="6"/>
  <c r="I149" i="6"/>
  <c r="I143" i="6"/>
  <c r="I137" i="6"/>
  <c r="I117" i="6"/>
  <c r="I108" i="6"/>
  <c r="I107" i="6"/>
  <c r="I100" i="6"/>
  <c r="I99" i="6"/>
  <c r="I191" i="6"/>
  <c r="I188" i="6"/>
  <c r="I177" i="6"/>
  <c r="I157" i="6"/>
  <c r="I151" i="6"/>
  <c r="I145" i="6"/>
  <c r="I125" i="6"/>
  <c r="I119" i="6"/>
  <c r="I113" i="6"/>
  <c r="I153" i="6"/>
  <c r="I111" i="6"/>
  <c r="I104" i="6"/>
  <c r="I133" i="6"/>
  <c r="I105" i="6"/>
  <c r="I98" i="6"/>
  <c r="I165" i="6"/>
  <c r="I127" i="6"/>
  <c r="I103" i="6"/>
  <c r="I159" i="6"/>
  <c r="I121" i="6"/>
  <c r="I112" i="6"/>
  <c r="I106" i="6"/>
  <c r="I97" i="6"/>
  <c r="F141" i="10"/>
  <c r="F136" i="10"/>
  <c r="F133" i="10"/>
  <c r="F128" i="10"/>
  <c r="F125" i="10"/>
  <c r="F120" i="10"/>
  <c r="F117" i="10"/>
  <c r="F112" i="10"/>
  <c r="F109" i="10"/>
  <c r="F104" i="10"/>
  <c r="F101" i="10"/>
  <c r="F96" i="10"/>
  <c r="F93" i="10"/>
  <c r="F88" i="10"/>
  <c r="F85" i="10"/>
  <c r="F80" i="10"/>
  <c r="F77" i="10"/>
  <c r="F72" i="10"/>
  <c r="F69" i="10"/>
  <c r="F64" i="10"/>
  <c r="F61" i="10"/>
  <c r="F56" i="10"/>
  <c r="F53" i="10"/>
  <c r="F142" i="10"/>
  <c r="F137" i="10"/>
  <c r="F132" i="10"/>
  <c r="F127" i="10"/>
  <c r="F123" i="10"/>
  <c r="F114" i="10"/>
  <c r="F110" i="10"/>
  <c r="F105" i="10"/>
  <c r="F100" i="10"/>
  <c r="F95" i="10"/>
  <c r="F91" i="10"/>
  <c r="F82" i="10"/>
  <c r="F78" i="10"/>
  <c r="F73" i="10"/>
  <c r="F68" i="10"/>
  <c r="F63" i="10"/>
  <c r="F59" i="10"/>
  <c r="F50" i="10"/>
  <c r="F124" i="10"/>
  <c r="F122" i="10"/>
  <c r="F116" i="10"/>
  <c r="F106" i="10"/>
  <c r="F103" i="10"/>
  <c r="F97" i="10"/>
  <c r="F94" i="10"/>
  <c r="F86" i="10"/>
  <c r="F75" i="10"/>
  <c r="F66" i="10"/>
  <c r="F55" i="10"/>
  <c r="F143" i="10"/>
  <c r="F140" i="10"/>
  <c r="F134" i="10"/>
  <c r="F129" i="10"/>
  <c r="F126" i="10"/>
  <c r="F118" i="10"/>
  <c r="F115" i="10"/>
  <c r="F113" i="10"/>
  <c r="F102" i="10"/>
  <c r="F99" i="10"/>
  <c r="F87" i="10"/>
  <c r="F83" i="10"/>
  <c r="F81" i="10"/>
  <c r="F76" i="10"/>
  <c r="F74" i="10"/>
  <c r="F71" i="10"/>
  <c r="F51" i="10"/>
  <c r="F49" i="10"/>
  <c r="F139" i="10"/>
  <c r="F111" i="10"/>
  <c r="F108" i="10"/>
  <c r="F98" i="10"/>
  <c r="F79" i="10"/>
  <c r="F62" i="10"/>
  <c r="F138" i="10"/>
  <c r="F135" i="10"/>
  <c r="F131" i="10"/>
  <c r="F121" i="10"/>
  <c r="F107" i="10"/>
  <c r="F92" i="10"/>
  <c r="F90" i="10"/>
  <c r="F70" i="10"/>
  <c r="F67" i="10"/>
  <c r="F65" i="10"/>
  <c r="F60" i="10"/>
  <c r="F58" i="10"/>
  <c r="F54" i="10"/>
  <c r="F144" i="10"/>
  <c r="F89" i="10"/>
  <c r="F57" i="10"/>
  <c r="F130" i="10"/>
  <c r="F84" i="10"/>
  <c r="F52" i="10"/>
  <c r="F119"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J185" i="6"/>
  <c r="J184" i="6"/>
  <c r="J189" i="6"/>
  <c r="J178" i="6"/>
  <c r="J177" i="6"/>
  <c r="J170" i="6"/>
  <c r="J169" i="6"/>
  <c r="J162" i="6"/>
  <c r="J161" i="6"/>
  <c r="J154" i="6"/>
  <c r="J153" i="6"/>
  <c r="J146" i="6"/>
  <c r="J145" i="6"/>
  <c r="J138" i="6"/>
  <c r="J137" i="6"/>
  <c r="J130" i="6"/>
  <c r="J129" i="6"/>
  <c r="J122" i="6"/>
  <c r="J121" i="6"/>
  <c r="J114" i="6"/>
  <c r="J113" i="6"/>
  <c r="J111" i="6"/>
  <c r="J109" i="6"/>
  <c r="J107" i="6"/>
  <c r="J105" i="6"/>
  <c r="J103" i="6"/>
  <c r="J101" i="6"/>
  <c r="J99" i="6"/>
  <c r="J97" i="6"/>
  <c r="J192" i="6"/>
  <c r="J181" i="6"/>
  <c r="J180" i="6"/>
  <c r="J175" i="6"/>
  <c r="J174" i="6"/>
  <c r="J168" i="6"/>
  <c r="J155" i="6"/>
  <c r="J149" i="6"/>
  <c r="J148" i="6"/>
  <c r="J143" i="6"/>
  <c r="J142" i="6"/>
  <c r="J136" i="6"/>
  <c r="J123" i="6"/>
  <c r="J117" i="6"/>
  <c r="J116" i="6"/>
  <c r="J108" i="6"/>
  <c r="J100" i="6"/>
  <c r="J191" i="6"/>
  <c r="J190" i="6"/>
  <c r="J188" i="6"/>
  <c r="J186" i="6"/>
  <c r="J182" i="6"/>
  <c r="J176" i="6"/>
  <c r="J163" i="6"/>
  <c r="J157" i="6"/>
  <c r="J156" i="6"/>
  <c r="J151" i="6"/>
  <c r="J150" i="6"/>
  <c r="J144" i="6"/>
  <c r="J131" i="6"/>
  <c r="J125" i="6"/>
  <c r="J124" i="6"/>
  <c r="J119" i="6"/>
  <c r="J118" i="6"/>
  <c r="J106" i="6"/>
  <c r="J98" i="6"/>
  <c r="J171" i="6"/>
  <c r="J165" i="6"/>
  <c r="J164" i="6"/>
  <c r="J159" i="6"/>
  <c r="J158" i="6"/>
  <c r="J152" i="6"/>
  <c r="J139" i="6"/>
  <c r="J133" i="6"/>
  <c r="J132" i="6"/>
  <c r="J127" i="6"/>
  <c r="J126" i="6"/>
  <c r="J120" i="6"/>
  <c r="J112" i="6"/>
  <c r="J172" i="6"/>
  <c r="J167" i="6"/>
  <c r="J134" i="6"/>
  <c r="J115" i="6"/>
  <c r="J102" i="6"/>
  <c r="J187" i="6"/>
  <c r="J166" i="6"/>
  <c r="J147" i="6"/>
  <c r="J128" i="6"/>
  <c r="J110" i="6"/>
  <c r="J179" i="6"/>
  <c r="J160" i="6"/>
  <c r="J141" i="6"/>
  <c r="J183" i="6"/>
  <c r="J173" i="6"/>
  <c r="J140" i="6"/>
  <c r="J135" i="6"/>
  <c r="J104" i="6"/>
  <c r="G143" i="10"/>
  <c r="G141" i="10"/>
  <c r="G139" i="10"/>
  <c r="G137" i="10"/>
  <c r="G135" i="10"/>
  <c r="G133" i="10"/>
  <c r="G131" i="10"/>
  <c r="G129" i="10"/>
  <c r="G127" i="10"/>
  <c r="G125" i="10"/>
  <c r="G123" i="10"/>
  <c r="G121" i="10"/>
  <c r="G119" i="10"/>
  <c r="G117" i="10"/>
  <c r="G115" i="10"/>
  <c r="G113" i="10"/>
  <c r="G111" i="10"/>
  <c r="G109" i="10"/>
  <c r="G107" i="10"/>
  <c r="G105" i="10"/>
  <c r="G103" i="10"/>
  <c r="G101" i="10"/>
  <c r="G99" i="10"/>
  <c r="G97" i="10"/>
  <c r="G95" i="10"/>
  <c r="G93" i="10"/>
  <c r="G91" i="10"/>
  <c r="G89" i="10"/>
  <c r="G87" i="10"/>
  <c r="G85" i="10"/>
  <c r="G83" i="10"/>
  <c r="G81" i="10"/>
  <c r="G79" i="10"/>
  <c r="G77" i="10"/>
  <c r="G75" i="10"/>
  <c r="G73" i="10"/>
  <c r="G71" i="10"/>
  <c r="G69" i="10"/>
  <c r="G67" i="10"/>
  <c r="G65" i="10"/>
  <c r="G63" i="10"/>
  <c r="G61" i="10"/>
  <c r="G59" i="10"/>
  <c r="G57" i="10"/>
  <c r="G55" i="10"/>
  <c r="G53" i="10"/>
  <c r="G51" i="10"/>
  <c r="G49" i="10"/>
  <c r="G138" i="10"/>
  <c r="G130" i="10"/>
  <c r="G122" i="10"/>
  <c r="G114" i="10"/>
  <c r="G106" i="10"/>
  <c r="G98" i="10"/>
  <c r="G90" i="10"/>
  <c r="G82" i="10"/>
  <c r="G74" i="10"/>
  <c r="G66" i="10"/>
  <c r="G58" i="10"/>
  <c r="G50" i="10"/>
  <c r="G140" i="10"/>
  <c r="G128" i="10"/>
  <c r="G118" i="10"/>
  <c r="G108" i="10"/>
  <c r="G96" i="10"/>
  <c r="G86" i="10"/>
  <c r="G76" i="10"/>
  <c r="G64" i="10"/>
  <c r="G54" i="10"/>
  <c r="G134" i="10"/>
  <c r="G104" i="10"/>
  <c r="G92" i="10"/>
  <c r="G84" i="10"/>
  <c r="G78" i="10"/>
  <c r="G62" i="10"/>
  <c r="G56" i="10"/>
  <c r="G124" i="10"/>
  <c r="G116" i="10"/>
  <c r="G100" i="10"/>
  <c r="G88" i="10"/>
  <c r="G72" i="10"/>
  <c r="G112" i="10"/>
  <c r="G80" i="10"/>
  <c r="G70" i="10"/>
  <c r="G60" i="10"/>
  <c r="G136" i="10"/>
  <c r="G132" i="10"/>
  <c r="G110" i="10"/>
  <c r="G68" i="10"/>
  <c r="G52" i="10"/>
  <c r="G126" i="10"/>
  <c r="G102" i="10"/>
  <c r="G142" i="10"/>
  <c r="G94" i="10"/>
  <c r="G120" i="10"/>
  <c r="G144"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K98" i="6"/>
  <c r="K141" i="6"/>
  <c r="K97" i="6"/>
  <c r="K99" i="6"/>
  <c r="M100" i="6"/>
  <c r="M102" i="6"/>
  <c r="M104" i="6"/>
  <c r="M106" i="6"/>
  <c r="O108" i="6"/>
  <c r="M110" i="6"/>
  <c r="O112" i="6"/>
  <c r="M114" i="6"/>
  <c r="O116" i="6"/>
  <c r="M118" i="6"/>
  <c r="O120" i="6"/>
  <c r="M122" i="6"/>
  <c r="O124" i="6"/>
  <c r="M132" i="6"/>
  <c r="M148" i="6"/>
  <c r="N150" i="6"/>
  <c r="M97" i="6"/>
  <c r="M98" i="6"/>
  <c r="M99" i="6"/>
  <c r="M101" i="6"/>
  <c r="M103" i="6"/>
  <c r="M105" i="6"/>
  <c r="M107" i="6"/>
  <c r="N109" i="6"/>
  <c r="K111" i="6"/>
  <c r="N113" i="6"/>
  <c r="K115" i="6"/>
  <c r="N117" i="6"/>
  <c r="K119" i="6"/>
  <c r="N121" i="6"/>
  <c r="M129" i="6"/>
  <c r="N139" i="6"/>
  <c r="O146" i="6"/>
  <c r="M156" i="6"/>
  <c r="K192" i="6"/>
  <c r="K191" i="6"/>
  <c r="K190" i="6"/>
  <c r="K189" i="6"/>
  <c r="K188" i="6"/>
  <c r="K187" i="6"/>
  <c r="K186" i="6"/>
  <c r="K185" i="6"/>
  <c r="K184" i="6"/>
  <c r="K183" i="6"/>
  <c r="K182" i="6"/>
  <c r="K181" i="6"/>
  <c r="K180" i="6"/>
  <c r="K179" i="6"/>
  <c r="K178" i="6"/>
  <c r="K177" i="6"/>
  <c r="K175" i="6"/>
  <c r="K171" i="6"/>
  <c r="K167" i="6"/>
  <c r="K164" i="6"/>
  <c r="K163" i="6"/>
  <c r="K162" i="6"/>
  <c r="K161" i="6"/>
  <c r="K160" i="6"/>
  <c r="K159" i="6"/>
  <c r="K158" i="6"/>
  <c r="K157" i="6"/>
  <c r="K156" i="6"/>
  <c r="K155" i="6"/>
  <c r="K154" i="6"/>
  <c r="K153" i="6"/>
  <c r="K152" i="6"/>
  <c r="K151" i="6"/>
  <c r="K150" i="6"/>
  <c r="K174" i="6"/>
  <c r="K170" i="6"/>
  <c r="K166" i="6"/>
  <c r="K176" i="6"/>
  <c r="K172" i="6"/>
  <c r="K168" i="6"/>
  <c r="K165" i="6"/>
  <c r="K147" i="6"/>
  <c r="K143" i="6"/>
  <c r="K139" i="6"/>
  <c r="K135" i="6"/>
  <c r="K131" i="6"/>
  <c r="K130" i="6"/>
  <c r="K129" i="6"/>
  <c r="K128" i="6"/>
  <c r="K127" i="6"/>
  <c r="K126" i="6"/>
  <c r="K146" i="6"/>
  <c r="K142" i="6"/>
  <c r="K138" i="6"/>
  <c r="K134" i="6"/>
  <c r="K169" i="6"/>
  <c r="K148" i="6"/>
  <c r="K144" i="6"/>
  <c r="K140" i="6"/>
  <c r="K136" i="6"/>
  <c r="K132" i="6"/>
  <c r="L97" i="6"/>
  <c r="L98" i="6"/>
  <c r="P98" i="6"/>
  <c r="L99" i="6"/>
  <c r="P99" i="6"/>
  <c r="L100" i="6"/>
  <c r="P100" i="6"/>
  <c r="L101" i="6"/>
  <c r="P101" i="6"/>
  <c r="L102" i="6"/>
  <c r="P102" i="6"/>
  <c r="L103" i="6"/>
  <c r="P103" i="6"/>
  <c r="L104" i="6"/>
  <c r="P104" i="6"/>
  <c r="L105" i="6"/>
  <c r="P105" i="6"/>
  <c r="L106" i="6"/>
  <c r="P106" i="6"/>
  <c r="N108" i="6"/>
  <c r="M109" i="6"/>
  <c r="K110" i="6"/>
  <c r="O111" i="6"/>
  <c r="N112" i="6"/>
  <c r="M113" i="6"/>
  <c r="K114" i="6"/>
  <c r="O115" i="6"/>
  <c r="N116" i="6"/>
  <c r="M117" i="6"/>
  <c r="K118" i="6"/>
  <c r="O119" i="6"/>
  <c r="N120" i="6"/>
  <c r="M121" i="6"/>
  <c r="K122" i="6"/>
  <c r="O123" i="6"/>
  <c r="N124" i="6"/>
  <c r="O125" i="6"/>
  <c r="M126" i="6"/>
  <c r="M130" i="6"/>
  <c r="N135" i="6"/>
  <c r="K137" i="6"/>
  <c r="M144" i="6"/>
  <c r="N152" i="6"/>
  <c r="K173" i="6"/>
  <c r="N187" i="6"/>
  <c r="L192" i="6"/>
  <c r="L191" i="6"/>
  <c r="L190" i="6"/>
  <c r="L189" i="6"/>
  <c r="L188" i="6"/>
  <c r="L187" i="6"/>
  <c r="L186" i="6"/>
  <c r="L185" i="6"/>
  <c r="L184" i="6"/>
  <c r="L183" i="6"/>
  <c r="L182" i="6"/>
  <c r="L181" i="6"/>
  <c r="L180" i="6"/>
  <c r="L179" i="6"/>
  <c r="L178" i="6"/>
  <c r="L177" i="6"/>
  <c r="L174" i="6"/>
  <c r="L170" i="6"/>
  <c r="L166" i="6"/>
  <c r="L173" i="6"/>
  <c r="L169" i="6"/>
  <c r="L165" i="6"/>
  <c r="L175" i="6"/>
  <c r="L171" i="6"/>
  <c r="L167"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72" i="6"/>
  <c r="L168" i="6"/>
  <c r="L176" i="6"/>
  <c r="L130" i="6"/>
  <c r="L129" i="6"/>
  <c r="L128" i="6"/>
  <c r="L127" i="6"/>
  <c r="L126" i="6"/>
  <c r="L125" i="6"/>
  <c r="L124" i="6"/>
  <c r="L123" i="6"/>
  <c r="L122" i="6"/>
  <c r="L121" i="6"/>
  <c r="L120" i="6"/>
  <c r="L119" i="6"/>
  <c r="L118" i="6"/>
  <c r="L117" i="6"/>
  <c r="L116" i="6"/>
  <c r="L115" i="6"/>
  <c r="L114" i="6"/>
  <c r="L113" i="6"/>
  <c r="L112" i="6"/>
  <c r="L111" i="6"/>
  <c r="L110" i="6"/>
  <c r="L109" i="6"/>
  <c r="L108" i="6"/>
  <c r="P192" i="6"/>
  <c r="P191" i="6"/>
  <c r="P190" i="6"/>
  <c r="P189" i="6"/>
  <c r="P188" i="6"/>
  <c r="P187" i="6"/>
  <c r="P186" i="6"/>
  <c r="P185" i="6"/>
  <c r="P184" i="6"/>
  <c r="P183" i="6"/>
  <c r="P182" i="6"/>
  <c r="P181" i="6"/>
  <c r="P180" i="6"/>
  <c r="P179" i="6"/>
  <c r="P178" i="6"/>
  <c r="P177" i="6"/>
  <c r="P175" i="6"/>
  <c r="P171" i="6"/>
  <c r="P167" i="6"/>
  <c r="P174" i="6"/>
  <c r="P170" i="6"/>
  <c r="P166" i="6"/>
  <c r="P176" i="6"/>
  <c r="P172" i="6"/>
  <c r="P168"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73" i="6"/>
  <c r="P165" i="6"/>
  <c r="P130" i="6"/>
  <c r="P129" i="6"/>
  <c r="P128" i="6"/>
  <c r="P127" i="6"/>
  <c r="P126" i="6"/>
  <c r="P125" i="6"/>
  <c r="P124" i="6"/>
  <c r="P123" i="6"/>
  <c r="P122" i="6"/>
  <c r="P121" i="6"/>
  <c r="P120" i="6"/>
  <c r="P119" i="6"/>
  <c r="P118" i="6"/>
  <c r="P117" i="6"/>
  <c r="P116" i="6"/>
  <c r="P115" i="6"/>
  <c r="P114" i="6"/>
  <c r="P113" i="6"/>
  <c r="P112" i="6"/>
  <c r="P111" i="6"/>
  <c r="P110" i="6"/>
  <c r="P109" i="6"/>
  <c r="P108" i="6"/>
  <c r="M192" i="6"/>
  <c r="M191" i="6"/>
  <c r="M190" i="6"/>
  <c r="M189" i="6"/>
  <c r="M188" i="6"/>
  <c r="M187" i="6"/>
  <c r="M186" i="6"/>
  <c r="M185" i="6"/>
  <c r="M184" i="6"/>
  <c r="M183" i="6"/>
  <c r="M182" i="6"/>
  <c r="M181" i="6"/>
  <c r="M180" i="6"/>
  <c r="M179" i="6"/>
  <c r="M178" i="6"/>
  <c r="M177" i="6"/>
  <c r="M176" i="6"/>
  <c r="M175" i="6"/>
  <c r="M174" i="6"/>
  <c r="M173" i="6"/>
  <c r="M172" i="6"/>
  <c r="M171" i="6"/>
  <c r="M170" i="6"/>
  <c r="M169" i="6"/>
  <c r="M168" i="6"/>
  <c r="M167" i="6"/>
  <c r="M166" i="6"/>
  <c r="M165" i="6"/>
  <c r="M162" i="6"/>
  <c r="M158" i="6"/>
  <c r="M146" i="6"/>
  <c r="M142" i="6"/>
  <c r="M138" i="6"/>
  <c r="M134" i="6"/>
  <c r="M163" i="6"/>
  <c r="M159" i="6"/>
  <c r="M155" i="6"/>
  <c r="M153" i="6"/>
  <c r="M151" i="6"/>
  <c r="M149" i="6"/>
  <c r="M145" i="6"/>
  <c r="M141" i="6"/>
  <c r="M137" i="6"/>
  <c r="M133" i="6"/>
  <c r="M161" i="6"/>
  <c r="M157" i="6"/>
  <c r="M154" i="6"/>
  <c r="M152" i="6"/>
  <c r="M150" i="6"/>
  <c r="M147" i="6"/>
  <c r="M143" i="6"/>
  <c r="M139" i="6"/>
  <c r="M135" i="6"/>
  <c r="M131" i="6"/>
  <c r="O192" i="6"/>
  <c r="O191" i="6"/>
  <c r="O190" i="6"/>
  <c r="O189" i="6"/>
  <c r="O188" i="6"/>
  <c r="O187" i="6"/>
  <c r="O186" i="6"/>
  <c r="O185" i="6"/>
  <c r="O184" i="6"/>
  <c r="O183" i="6"/>
  <c r="O182" i="6"/>
  <c r="O181" i="6"/>
  <c r="O180" i="6"/>
  <c r="O179" i="6"/>
  <c r="O178" i="6"/>
  <c r="O177" i="6"/>
  <c r="O176" i="6"/>
  <c r="O172" i="6"/>
  <c r="O168" i="6"/>
  <c r="O164" i="6"/>
  <c r="O163" i="6"/>
  <c r="O162" i="6"/>
  <c r="O161" i="6"/>
  <c r="O160" i="6"/>
  <c r="O159" i="6"/>
  <c r="O158" i="6"/>
  <c r="O157" i="6"/>
  <c r="O156" i="6"/>
  <c r="O155" i="6"/>
  <c r="O154" i="6"/>
  <c r="O153" i="6"/>
  <c r="O152" i="6"/>
  <c r="O151" i="6"/>
  <c r="O150" i="6"/>
  <c r="O149" i="6"/>
  <c r="O175" i="6"/>
  <c r="O171" i="6"/>
  <c r="O167" i="6"/>
  <c r="O173" i="6"/>
  <c r="O169" i="6"/>
  <c r="O165" i="6"/>
  <c r="O170" i="6"/>
  <c r="O148" i="6"/>
  <c r="O144" i="6"/>
  <c r="O140" i="6"/>
  <c r="O136" i="6"/>
  <c r="O132" i="6"/>
  <c r="O130" i="6"/>
  <c r="O129" i="6"/>
  <c r="O128" i="6"/>
  <c r="O127" i="6"/>
  <c r="O126" i="6"/>
  <c r="O166" i="6"/>
  <c r="O147" i="6"/>
  <c r="O143" i="6"/>
  <c r="O139" i="6"/>
  <c r="O135" i="6"/>
  <c r="O131" i="6"/>
  <c r="O174" i="6"/>
  <c r="O145" i="6"/>
  <c r="O141" i="6"/>
  <c r="O137" i="6"/>
  <c r="O133" i="6"/>
  <c r="N98" i="6"/>
  <c r="N99" i="6"/>
  <c r="N100" i="6"/>
  <c r="N101" i="6"/>
  <c r="N102" i="6"/>
  <c r="N103" i="6"/>
  <c r="N104" i="6"/>
  <c r="N105" i="6"/>
  <c r="N106" i="6"/>
  <c r="N107" i="6"/>
  <c r="K108" i="6"/>
  <c r="O109" i="6"/>
  <c r="N110" i="6"/>
  <c r="M111" i="6"/>
  <c r="K112" i="6"/>
  <c r="O113" i="6"/>
  <c r="N114" i="6"/>
  <c r="M115" i="6"/>
  <c r="K116" i="6"/>
  <c r="O117" i="6"/>
  <c r="N118" i="6"/>
  <c r="M119" i="6"/>
  <c r="K120" i="6"/>
  <c r="O121" i="6"/>
  <c r="N122" i="6"/>
  <c r="M123" i="6"/>
  <c r="K124" i="6"/>
  <c r="K125" i="6"/>
  <c r="M128" i="6"/>
  <c r="O134" i="6"/>
  <c r="M136" i="6"/>
  <c r="K145" i="6"/>
  <c r="P169" i="6"/>
  <c r="N189" i="6"/>
  <c r="N185" i="6"/>
  <c r="N181" i="6"/>
  <c r="N177" i="6"/>
  <c r="N173" i="6"/>
  <c r="N169" i="6"/>
  <c r="N165" i="6"/>
  <c r="N190" i="6"/>
  <c r="N186" i="6"/>
  <c r="N182" i="6"/>
  <c r="N178" i="6"/>
  <c r="N176" i="6"/>
  <c r="N172" i="6"/>
  <c r="N168" i="6"/>
  <c r="N164" i="6"/>
  <c r="N163" i="6"/>
  <c r="N162" i="6"/>
  <c r="N161" i="6"/>
  <c r="N160" i="6"/>
  <c r="N159" i="6"/>
  <c r="N158" i="6"/>
  <c r="N157" i="6"/>
  <c r="N156" i="6"/>
  <c r="N155" i="6"/>
  <c r="N192" i="6"/>
  <c r="N188" i="6"/>
  <c r="N184" i="6"/>
  <c r="N180" i="6"/>
  <c r="N174" i="6"/>
  <c r="N170" i="6"/>
  <c r="N166" i="6"/>
  <c r="N179" i="6"/>
  <c r="N153" i="6"/>
  <c r="N151" i="6"/>
  <c r="N149" i="6"/>
  <c r="N145" i="6"/>
  <c r="N141" i="6"/>
  <c r="N137" i="6"/>
  <c r="N133" i="6"/>
  <c r="N183" i="6"/>
  <c r="N175" i="6"/>
  <c r="N148" i="6"/>
  <c r="N144" i="6"/>
  <c r="N140" i="6"/>
  <c r="N136" i="6"/>
  <c r="N132" i="6"/>
  <c r="N130" i="6"/>
  <c r="N129" i="6"/>
  <c r="N128" i="6"/>
  <c r="N127" i="6"/>
  <c r="N126" i="6"/>
  <c r="N125" i="6"/>
  <c r="N191" i="6"/>
  <c r="N167" i="6"/>
  <c r="N146" i="6"/>
  <c r="N142" i="6"/>
  <c r="N138" i="6"/>
  <c r="N134" i="6"/>
  <c r="O98" i="6"/>
  <c r="O99" i="6"/>
  <c r="K100" i="6"/>
  <c r="O100" i="6"/>
  <c r="K101" i="6"/>
  <c r="O101" i="6"/>
  <c r="K102" i="6"/>
  <c r="O102" i="6"/>
  <c r="K103" i="6"/>
  <c r="O103" i="6"/>
  <c r="K104" i="6"/>
  <c r="O104" i="6"/>
  <c r="K105" i="6"/>
  <c r="O105" i="6"/>
  <c r="K106" i="6"/>
  <c r="O106" i="6"/>
  <c r="K107" i="6"/>
  <c r="O107" i="6"/>
  <c r="M108" i="6"/>
  <c r="K109" i="6"/>
  <c r="O110" i="6"/>
  <c r="N111" i="6"/>
  <c r="M112" i="6"/>
  <c r="K113" i="6"/>
  <c r="O114" i="6"/>
  <c r="N115" i="6"/>
  <c r="M116" i="6"/>
  <c r="K117" i="6"/>
  <c r="O118" i="6"/>
  <c r="N119" i="6"/>
  <c r="M120" i="6"/>
  <c r="K121" i="6"/>
  <c r="O122" i="6"/>
  <c r="N123" i="6"/>
  <c r="M124" i="6"/>
  <c r="M125" i="6"/>
  <c r="M127" i="6"/>
  <c r="N131" i="6"/>
  <c r="K133" i="6"/>
  <c r="O138" i="6"/>
  <c r="M140" i="6"/>
  <c r="N147" i="6"/>
  <c r="K149" i="6"/>
  <c r="N154" i="6"/>
  <c r="M164" i="6"/>
  <c r="N171" i="6"/>
  <c r="E20" i="10" l="1"/>
  <c r="E23" i="10" s="1"/>
  <c r="D20" i="10"/>
  <c r="D23" i="10" s="1"/>
  <c r="F20" i="10"/>
  <c r="F23" i="10" s="1"/>
  <c r="D31" i="10"/>
  <c r="E31" i="10"/>
  <c r="F31" i="10"/>
  <c r="E21" i="10"/>
  <c r="E24" i="10" s="1"/>
  <c r="F21" i="10"/>
  <c r="F24" i="10" s="1"/>
  <c r="D21" i="10"/>
  <c r="D24" i="10" s="1"/>
  <c r="E30" i="10"/>
  <c r="F30" i="10"/>
  <c r="D30" i="10"/>
  <c r="F29" i="10"/>
  <c r="E29" i="10"/>
  <c r="D29" i="10"/>
  <c r="D22" i="10"/>
  <c r="D25" i="10" s="1"/>
  <c r="F22" i="10"/>
  <c r="F25" i="10" s="1"/>
  <c r="E22" i="10"/>
  <c r="E25" i="10" s="1"/>
  <c r="E58" i="6"/>
  <c r="E66" i="6" s="1"/>
  <c r="E76" i="6"/>
  <c r="F77" i="6"/>
  <c r="F85" i="6" s="1"/>
  <c r="F76" i="6"/>
  <c r="E77" i="6"/>
  <c r="E85" i="6" s="1"/>
  <c r="D77" i="6"/>
  <c r="D85" i="6" s="1"/>
  <c r="D76" i="6"/>
  <c r="F58" i="6"/>
  <c r="F66" i="6" s="1"/>
  <c r="E57" i="6"/>
  <c r="F57" i="6"/>
  <c r="F65" i="6" l="1"/>
  <c r="F67" i="6" s="1"/>
  <c r="F70" i="6" s="1"/>
  <c r="D84" i="6"/>
  <c r="D88" i="6" s="1"/>
  <c r="D91" i="6" s="1"/>
  <c r="E84" i="6"/>
  <c r="E88" i="6" s="1"/>
  <c r="E91" i="6" s="1"/>
  <c r="F84" i="6"/>
  <c r="F86" i="6" s="1"/>
  <c r="F89" i="6" s="1"/>
  <c r="E65" i="6"/>
  <c r="E67" i="6" s="1"/>
  <c r="E70" i="6" s="1"/>
  <c r="E86" i="6" l="1"/>
  <c r="E89" i="6" s="1"/>
  <c r="F69" i="6"/>
  <c r="F72" i="6" s="1"/>
  <c r="E69" i="6"/>
  <c r="E72" i="6" s="1"/>
  <c r="E87" i="6"/>
  <c r="E90" i="6" s="1"/>
  <c r="F87" i="6"/>
  <c r="F90" i="6" s="1"/>
  <c r="E68" i="6"/>
  <c r="E71" i="6" s="1"/>
  <c r="F68" i="6"/>
  <c r="F71" i="6" s="1"/>
  <c r="F88" i="6"/>
  <c r="F91" i="6" s="1"/>
  <c r="D87" i="6"/>
  <c r="D90" i="6" s="1"/>
  <c r="D86" i="6"/>
  <c r="D89" i="6" s="1"/>
  <c r="D170" i="3"/>
  <c r="C170" i="3"/>
  <c r="B170" i="3"/>
  <c r="D165" i="3"/>
  <c r="C165" i="3"/>
  <c r="B165" i="3"/>
  <c r="D160" i="3"/>
  <c r="C160" i="3"/>
  <c r="B160" i="3"/>
  <c r="D150" i="3"/>
  <c r="C150" i="3"/>
  <c r="B150" i="3"/>
  <c r="D145" i="3"/>
  <c r="C145" i="3"/>
  <c r="B145" i="3"/>
  <c r="D140" i="3"/>
  <c r="C140" i="3"/>
  <c r="B140" i="3"/>
  <c r="D130" i="3"/>
  <c r="C130" i="3"/>
  <c r="B130" i="3"/>
  <c r="D125" i="3"/>
  <c r="C125" i="3"/>
  <c r="B125" i="3"/>
  <c r="D120" i="3"/>
  <c r="C120" i="3"/>
  <c r="B120" i="3"/>
  <c r="D31" i="5" s="1"/>
  <c r="B50" i="3"/>
  <c r="B49" i="3"/>
  <c r="D33" i="5" l="1"/>
  <c r="D32" i="5"/>
  <c r="E34" i="5"/>
  <c r="E35" i="5"/>
  <c r="E36" i="5"/>
  <c r="D68" i="5"/>
  <c r="D67" i="5"/>
  <c r="D69" i="5"/>
  <c r="F37" i="5"/>
  <c r="F38" i="5"/>
  <c r="F39" i="5"/>
  <c r="E33" i="5"/>
  <c r="E32" i="5"/>
  <c r="E31" i="5"/>
  <c r="F35" i="5"/>
  <c r="F34" i="5"/>
  <c r="F36" i="5"/>
  <c r="E63" i="5"/>
  <c r="E61" i="5"/>
  <c r="E62" i="5"/>
  <c r="D34" i="5"/>
  <c r="D35" i="5"/>
  <c r="D36" i="5"/>
  <c r="F64" i="5"/>
  <c r="F65" i="5"/>
  <c r="F66" i="5"/>
  <c r="E38" i="5"/>
  <c r="E37" i="5"/>
  <c r="E39" i="5"/>
  <c r="F53" i="5"/>
  <c r="F52" i="5"/>
  <c r="F54" i="5"/>
  <c r="D64" i="5"/>
  <c r="D65" i="5"/>
  <c r="D66" i="5"/>
  <c r="D52" i="5"/>
  <c r="D53" i="5"/>
  <c r="D54" i="5"/>
  <c r="E68" i="5"/>
  <c r="E67" i="5"/>
  <c r="E69" i="5"/>
  <c r="F61" i="5"/>
  <c r="F62" i="5"/>
  <c r="F63" i="5"/>
  <c r="D62" i="5"/>
  <c r="D63" i="5"/>
  <c r="D61" i="5"/>
  <c r="E64" i="5"/>
  <c r="E65" i="5"/>
  <c r="E66" i="5"/>
  <c r="D37" i="5"/>
  <c r="D38" i="5"/>
  <c r="D39" i="5"/>
  <c r="E53" i="5"/>
  <c r="E52" i="5"/>
  <c r="E54" i="5"/>
  <c r="F68" i="5"/>
  <c r="F67" i="5"/>
  <c r="F69" i="5"/>
  <c r="D49" i="5"/>
  <c r="D51" i="5"/>
  <c r="D50" i="5"/>
  <c r="F49" i="5"/>
  <c r="F51" i="5"/>
  <c r="F50" i="5"/>
  <c r="E51" i="5"/>
  <c r="E49" i="5"/>
  <c r="E50" i="5"/>
  <c r="E47" i="5"/>
  <c r="E46" i="5"/>
  <c r="E48" i="5"/>
  <c r="D48" i="5"/>
  <c r="D47" i="5"/>
  <c r="D46" i="5"/>
  <c r="F32" i="5"/>
  <c r="F31" i="5"/>
  <c r="F33" i="5"/>
  <c r="F48" i="5"/>
  <c r="F47" i="5"/>
  <c r="F46" i="5"/>
  <c r="D72" i="5" l="1"/>
  <c r="M60" i="2" s="1"/>
  <c r="D71" i="5"/>
  <c r="M59" i="2" s="1"/>
  <c r="D70" i="5"/>
  <c r="M58" i="2" s="1"/>
  <c r="AA65" i="1" s="1"/>
  <c r="D55" i="5"/>
  <c r="E55" i="5"/>
  <c r="H49" i="2" s="1"/>
  <c r="W65" i="1" s="1"/>
  <c r="F42" i="5"/>
  <c r="C42" i="2" s="1"/>
  <c r="E70" i="5"/>
  <c r="F71" i="5"/>
  <c r="M41" i="2" s="1"/>
  <c r="D42" i="5"/>
  <c r="F55" i="5"/>
  <c r="H40" i="2" s="1"/>
  <c r="V65" i="1" s="1"/>
  <c r="F41" i="5"/>
  <c r="C41" i="2" s="1"/>
  <c r="E71" i="5"/>
  <c r="D57" i="5"/>
  <c r="F40" i="5"/>
  <c r="C40" i="2" s="1"/>
  <c r="S65" i="1" s="1"/>
  <c r="F70" i="5"/>
  <c r="M40" i="2" s="1"/>
  <c r="Y65" i="1" s="1"/>
  <c r="E57" i="5"/>
  <c r="H51" i="2" s="1"/>
  <c r="E40" i="5"/>
  <c r="C49" i="2" s="1"/>
  <c r="T65" i="1" s="1"/>
  <c r="D56" i="5"/>
  <c r="F72" i="5"/>
  <c r="M42" i="2" s="1"/>
  <c r="D40" i="5"/>
  <c r="F57" i="5"/>
  <c r="H42" i="2" s="1"/>
  <c r="E41" i="5"/>
  <c r="C50" i="2" s="1"/>
  <c r="E72" i="5"/>
  <c r="E56" i="5"/>
  <c r="H50" i="2" s="1"/>
  <c r="D41" i="5"/>
  <c r="F56" i="5"/>
  <c r="H41" i="2" s="1"/>
  <c r="E42" i="5"/>
  <c r="C51" i="2" s="1"/>
  <c r="N58" i="2" l="1"/>
  <c r="N60" i="2"/>
  <c r="N59" i="2"/>
  <c r="N42" i="2"/>
  <c r="N41" i="2"/>
  <c r="N40" i="2"/>
  <c r="D40" i="2"/>
  <c r="D42" i="2"/>
  <c r="D41" i="2"/>
  <c r="D51" i="2"/>
  <c r="D50" i="2"/>
  <c r="D49" i="2"/>
  <c r="I50" i="2"/>
  <c r="I49" i="2"/>
  <c r="I51" i="2"/>
  <c r="I41" i="2"/>
  <c r="I40" i="2"/>
  <c r="I42" i="2"/>
  <c r="C59" i="2"/>
  <c r="H60" i="2"/>
  <c r="C60" i="2"/>
  <c r="M51" i="2"/>
  <c r="M49" i="2"/>
  <c r="Z65" i="1" s="1"/>
  <c r="H59" i="2"/>
  <c r="C58" i="2"/>
  <c r="U65" i="1" s="1"/>
  <c r="M50" i="2"/>
  <c r="H58" i="2"/>
  <c r="X65" i="1" s="1"/>
  <c r="I60" i="2" l="1"/>
  <c r="I59" i="2"/>
  <c r="I58" i="2"/>
  <c r="D60" i="2"/>
  <c r="D59" i="2"/>
  <c r="D58" i="2"/>
  <c r="N49" i="2"/>
  <c r="N51" i="2"/>
  <c r="N50" i="2"/>
  <c r="R75" i="12" l="1"/>
  <c r="U75" i="12" s="1"/>
  <c r="X75" i="12" s="1"/>
  <c r="AA75" i="12" s="1"/>
  <c r="R79" i="12"/>
  <c r="U79" i="12" s="1"/>
  <c r="X79" i="12" s="1"/>
  <c r="AA79" i="12" s="1"/>
  <c r="R83" i="12"/>
  <c r="U83" i="12" s="1"/>
  <c r="X83" i="12" s="1"/>
  <c r="AA83" i="12" s="1"/>
  <c r="R87" i="12"/>
  <c r="U87" i="12" s="1"/>
  <c r="X87" i="12" s="1"/>
  <c r="AA87" i="12" s="1"/>
  <c r="R91" i="12"/>
  <c r="U91" i="12" s="1"/>
  <c r="X91" i="12" s="1"/>
  <c r="AA91" i="12" s="1"/>
  <c r="R95" i="12"/>
  <c r="U95" i="12" s="1"/>
  <c r="X95" i="12" s="1"/>
  <c r="AA95" i="12" s="1"/>
  <c r="R99" i="12"/>
  <c r="U99" i="12" s="1"/>
  <c r="X99" i="12" s="1"/>
  <c r="AA99" i="12" s="1"/>
  <c r="R103" i="12"/>
  <c r="U103" i="12" s="1"/>
  <c r="X103" i="12" s="1"/>
  <c r="AA103" i="12" s="1"/>
  <c r="R107" i="12"/>
  <c r="U107" i="12" s="1"/>
  <c r="X107" i="12" s="1"/>
  <c r="AA107" i="12" s="1"/>
  <c r="R111" i="12"/>
  <c r="U111" i="12" s="1"/>
  <c r="X111" i="12" s="1"/>
  <c r="AA111" i="12" s="1"/>
  <c r="R115" i="12"/>
  <c r="U115" i="12" s="1"/>
  <c r="X115" i="12" s="1"/>
  <c r="AA115" i="12" s="1"/>
  <c r="R119" i="12"/>
  <c r="U119" i="12" s="1"/>
  <c r="X119" i="12" s="1"/>
  <c r="AA119" i="12" s="1"/>
  <c r="R123" i="12"/>
  <c r="U123" i="12" s="1"/>
  <c r="X123" i="12" s="1"/>
  <c r="AA123" i="12" s="1"/>
  <c r="R127" i="12"/>
  <c r="U127" i="12" s="1"/>
  <c r="X127" i="12" s="1"/>
  <c r="AA127" i="12" s="1"/>
  <c r="R131" i="12"/>
  <c r="U131" i="12" s="1"/>
  <c r="X131" i="12" s="1"/>
  <c r="AA131" i="12" s="1"/>
  <c r="R135" i="12"/>
  <c r="U135" i="12" s="1"/>
  <c r="X135" i="12" s="1"/>
  <c r="AA135" i="12" s="1"/>
  <c r="R139" i="12"/>
  <c r="U139" i="12" s="1"/>
  <c r="X139" i="12" s="1"/>
  <c r="AA139" i="12" s="1"/>
  <c r="R143" i="12"/>
  <c r="U143" i="12" s="1"/>
  <c r="X143" i="12" s="1"/>
  <c r="AA143" i="12" s="1"/>
  <c r="R147" i="12"/>
  <c r="U147" i="12" s="1"/>
  <c r="X147" i="12" s="1"/>
  <c r="AA147" i="12" s="1"/>
  <c r="R151" i="12"/>
  <c r="U151" i="12" s="1"/>
  <c r="X151" i="12" s="1"/>
  <c r="AA151" i="12" s="1"/>
  <c r="R64" i="12"/>
  <c r="U64" i="12" s="1"/>
  <c r="X64" i="12" s="1"/>
  <c r="AA64" i="12" s="1"/>
  <c r="R68" i="12"/>
  <c r="U68" i="12" s="1"/>
  <c r="X68" i="12" s="1"/>
  <c r="AA68" i="12" s="1"/>
  <c r="R63" i="12"/>
  <c r="U63" i="12" s="1"/>
  <c r="X63" i="12" s="1"/>
  <c r="AA63" i="12" s="1"/>
  <c r="R77" i="12"/>
  <c r="U77" i="12" s="1"/>
  <c r="X77" i="12" s="1"/>
  <c r="AA77" i="12" s="1"/>
  <c r="R89" i="12"/>
  <c r="U89" i="12" s="1"/>
  <c r="X89" i="12" s="1"/>
  <c r="AA89" i="12" s="1"/>
  <c r="R97" i="12"/>
  <c r="U97" i="12" s="1"/>
  <c r="X97" i="12" s="1"/>
  <c r="AA97" i="12" s="1"/>
  <c r="R105" i="12"/>
  <c r="U105" i="12" s="1"/>
  <c r="X105" i="12" s="1"/>
  <c r="AA105" i="12" s="1"/>
  <c r="R113" i="12"/>
  <c r="U113" i="12" s="1"/>
  <c r="X113" i="12" s="1"/>
  <c r="AA113" i="12" s="1"/>
  <c r="R121" i="12"/>
  <c r="U121" i="12" s="1"/>
  <c r="X121" i="12" s="1"/>
  <c r="AA121" i="12" s="1"/>
  <c r="R129" i="12"/>
  <c r="U129" i="12" s="1"/>
  <c r="X129" i="12" s="1"/>
  <c r="AA129" i="12" s="1"/>
  <c r="R137" i="12"/>
  <c r="U137" i="12" s="1"/>
  <c r="X137" i="12" s="1"/>
  <c r="AA137" i="12" s="1"/>
  <c r="R145" i="12"/>
  <c r="U145" i="12" s="1"/>
  <c r="X145" i="12" s="1"/>
  <c r="AA145" i="12" s="1"/>
  <c r="R72" i="12"/>
  <c r="U72" i="12" s="1"/>
  <c r="X72" i="12" s="1"/>
  <c r="AA72" i="12" s="1"/>
  <c r="R80" i="12"/>
  <c r="U80" i="12" s="1"/>
  <c r="X80" i="12" s="1"/>
  <c r="AA80" i="12" s="1"/>
  <c r="R92" i="12"/>
  <c r="U92" i="12" s="1"/>
  <c r="X92" i="12" s="1"/>
  <c r="AA92" i="12" s="1"/>
  <c r="R100" i="12"/>
  <c r="U100" i="12" s="1"/>
  <c r="X100" i="12" s="1"/>
  <c r="AA100" i="12" s="1"/>
  <c r="R104" i="12"/>
  <c r="U104" i="12" s="1"/>
  <c r="X104" i="12" s="1"/>
  <c r="AA104" i="12" s="1"/>
  <c r="R112" i="12"/>
  <c r="U112" i="12" s="1"/>
  <c r="X112" i="12" s="1"/>
  <c r="AA112" i="12" s="1"/>
  <c r="R124" i="12"/>
  <c r="U124" i="12" s="1"/>
  <c r="X124" i="12" s="1"/>
  <c r="AA124" i="12" s="1"/>
  <c r="R136" i="12"/>
  <c r="U136" i="12" s="1"/>
  <c r="X136" i="12" s="1"/>
  <c r="AA136" i="12" s="1"/>
  <c r="R144" i="12"/>
  <c r="U144" i="12" s="1"/>
  <c r="X144" i="12" s="1"/>
  <c r="AA144" i="12" s="1"/>
  <c r="R70" i="12"/>
  <c r="U70" i="12" s="1"/>
  <c r="X70" i="12" s="1"/>
  <c r="AA70" i="12" s="1"/>
  <c r="R74" i="12"/>
  <c r="U74" i="12" s="1"/>
  <c r="X74" i="12" s="1"/>
  <c r="AA74" i="12" s="1"/>
  <c r="R78" i="12"/>
  <c r="U78" i="12" s="1"/>
  <c r="X78" i="12" s="1"/>
  <c r="AA78" i="12" s="1"/>
  <c r="R82" i="12"/>
  <c r="U82" i="12" s="1"/>
  <c r="X82" i="12" s="1"/>
  <c r="AA82" i="12" s="1"/>
  <c r="R86" i="12"/>
  <c r="U86" i="12" s="1"/>
  <c r="X86" i="12" s="1"/>
  <c r="AA86" i="12" s="1"/>
  <c r="R90" i="12"/>
  <c r="U90" i="12" s="1"/>
  <c r="X90" i="12" s="1"/>
  <c r="AA90" i="12" s="1"/>
  <c r="R94" i="12"/>
  <c r="U94" i="12" s="1"/>
  <c r="X94" i="12" s="1"/>
  <c r="AA94" i="12" s="1"/>
  <c r="R98" i="12"/>
  <c r="U98" i="12" s="1"/>
  <c r="X98" i="12" s="1"/>
  <c r="AA98" i="12" s="1"/>
  <c r="R102" i="12"/>
  <c r="U102" i="12" s="1"/>
  <c r="X102" i="12" s="1"/>
  <c r="AA102" i="12" s="1"/>
  <c r="R106" i="12"/>
  <c r="U106" i="12" s="1"/>
  <c r="X106" i="12" s="1"/>
  <c r="AA106" i="12" s="1"/>
  <c r="R110" i="12"/>
  <c r="U110" i="12" s="1"/>
  <c r="X110" i="12" s="1"/>
  <c r="AA110" i="12" s="1"/>
  <c r="R114" i="12"/>
  <c r="U114" i="12" s="1"/>
  <c r="X114" i="12" s="1"/>
  <c r="AA114" i="12" s="1"/>
  <c r="R118" i="12"/>
  <c r="U118" i="12" s="1"/>
  <c r="X118" i="12" s="1"/>
  <c r="AA118" i="12" s="1"/>
  <c r="R122" i="12"/>
  <c r="U122" i="12" s="1"/>
  <c r="X122" i="12" s="1"/>
  <c r="AA122" i="12" s="1"/>
  <c r="R126" i="12"/>
  <c r="U126" i="12" s="1"/>
  <c r="X126" i="12" s="1"/>
  <c r="AA126" i="12" s="1"/>
  <c r="R130" i="12"/>
  <c r="U130" i="12" s="1"/>
  <c r="X130" i="12" s="1"/>
  <c r="AA130" i="12" s="1"/>
  <c r="R134" i="12"/>
  <c r="U134" i="12" s="1"/>
  <c r="X134" i="12" s="1"/>
  <c r="AA134" i="12" s="1"/>
  <c r="R146" i="12"/>
  <c r="U146" i="12" s="1"/>
  <c r="X146" i="12" s="1"/>
  <c r="AA146" i="12" s="1"/>
  <c r="R150" i="12"/>
  <c r="U150" i="12" s="1"/>
  <c r="X150" i="12" s="1"/>
  <c r="AA150" i="12" s="1"/>
  <c r="R154" i="12"/>
  <c r="U154" i="12" s="1"/>
  <c r="X154" i="12" s="1"/>
  <c r="AA154" i="12" s="1"/>
  <c r="R158" i="12"/>
  <c r="U158" i="12" s="1"/>
  <c r="X158" i="12" s="1"/>
  <c r="AA158" i="12" s="1"/>
  <c r="R67" i="12"/>
  <c r="U67" i="12" s="1"/>
  <c r="X67" i="12" s="1"/>
  <c r="AA67" i="12" s="1"/>
  <c r="R73" i="12"/>
  <c r="U73" i="12" s="1"/>
  <c r="X73" i="12" s="1"/>
  <c r="AA73" i="12" s="1"/>
  <c r="R93" i="12"/>
  <c r="U93" i="12" s="1"/>
  <c r="X93" i="12" s="1"/>
  <c r="AA93" i="12" s="1"/>
  <c r="R101" i="12"/>
  <c r="U101" i="12" s="1"/>
  <c r="X101" i="12" s="1"/>
  <c r="AA101" i="12" s="1"/>
  <c r="R109" i="12"/>
  <c r="U109" i="12" s="1"/>
  <c r="X109" i="12" s="1"/>
  <c r="AA109" i="12" s="1"/>
  <c r="R117" i="12"/>
  <c r="U117" i="12" s="1"/>
  <c r="X117" i="12" s="1"/>
  <c r="AA117" i="12" s="1"/>
  <c r="R125" i="12"/>
  <c r="U125" i="12" s="1"/>
  <c r="X125" i="12" s="1"/>
  <c r="AA125" i="12" s="1"/>
  <c r="R133" i="12"/>
  <c r="U133" i="12" s="1"/>
  <c r="X133" i="12" s="1"/>
  <c r="AA133" i="12" s="1"/>
  <c r="R141" i="12"/>
  <c r="U141" i="12" s="1"/>
  <c r="X141" i="12" s="1"/>
  <c r="AA141" i="12" s="1"/>
  <c r="R149" i="12"/>
  <c r="U149" i="12" s="1"/>
  <c r="X149" i="12" s="1"/>
  <c r="AA149" i="12" s="1"/>
  <c r="R66" i="12"/>
  <c r="U66" i="12" s="1"/>
  <c r="X66" i="12" s="1"/>
  <c r="AA66" i="12" s="1"/>
  <c r="R76" i="12"/>
  <c r="U76" i="12" s="1"/>
  <c r="X76" i="12" s="1"/>
  <c r="AA76" i="12" s="1"/>
  <c r="R84" i="12"/>
  <c r="U84" i="12" s="1"/>
  <c r="X84" i="12" s="1"/>
  <c r="AA84" i="12" s="1"/>
  <c r="R88" i="12"/>
  <c r="U88" i="12" s="1"/>
  <c r="X88" i="12" s="1"/>
  <c r="AA88" i="12" s="1"/>
  <c r="R96" i="12"/>
  <c r="U96" i="12" s="1"/>
  <c r="X96" i="12" s="1"/>
  <c r="AA96" i="12" s="1"/>
  <c r="R108" i="12"/>
  <c r="U108" i="12" s="1"/>
  <c r="X108" i="12" s="1"/>
  <c r="AA108" i="12" s="1"/>
  <c r="R120" i="12"/>
  <c r="U120" i="12" s="1"/>
  <c r="X120" i="12" s="1"/>
  <c r="AA120" i="12" s="1"/>
  <c r="R132" i="12"/>
  <c r="U132" i="12" s="1"/>
  <c r="X132" i="12" s="1"/>
  <c r="AA132" i="12" s="1"/>
  <c r="R140" i="12"/>
  <c r="U140" i="12" s="1"/>
  <c r="X140" i="12" s="1"/>
  <c r="AA140" i="12" s="1"/>
  <c r="R152" i="12"/>
  <c r="U152" i="12" s="1"/>
  <c r="X152" i="12" s="1"/>
  <c r="AA152" i="12" s="1"/>
  <c r="R65" i="12"/>
  <c r="U65" i="12" s="1"/>
  <c r="X65" i="12" s="1"/>
  <c r="AA65" i="12" s="1"/>
  <c r="R69" i="12"/>
  <c r="U69" i="12" s="1"/>
  <c r="X69" i="12" s="1"/>
  <c r="AA69" i="12" s="1"/>
  <c r="Q70" i="12"/>
  <c r="T70" i="12" s="1"/>
  <c r="W70" i="12" s="1"/>
  <c r="Z70" i="12" s="1"/>
  <c r="Q78" i="12"/>
  <c r="T78" i="12" s="1"/>
  <c r="W78" i="12" s="1"/>
  <c r="Z78" i="12" s="1"/>
  <c r="Q86" i="12"/>
  <c r="T86" i="12" s="1"/>
  <c r="W86" i="12" s="1"/>
  <c r="Z86" i="12" s="1"/>
  <c r="Q90" i="12"/>
  <c r="T90" i="12" s="1"/>
  <c r="W90" i="12" s="1"/>
  <c r="Z90" i="12" s="1"/>
  <c r="Q94" i="12"/>
  <c r="T94" i="12" s="1"/>
  <c r="W94" i="12" s="1"/>
  <c r="Z94" i="12" s="1"/>
  <c r="Q98" i="12"/>
  <c r="T98" i="12" s="1"/>
  <c r="W98" i="12" s="1"/>
  <c r="Z98" i="12" s="1"/>
  <c r="Q102" i="12"/>
  <c r="T102" i="12" s="1"/>
  <c r="W102" i="12" s="1"/>
  <c r="Z102" i="12" s="1"/>
  <c r="Q106" i="12"/>
  <c r="T106" i="12" s="1"/>
  <c r="W106" i="12" s="1"/>
  <c r="Z106" i="12" s="1"/>
  <c r="Q110" i="12"/>
  <c r="T110" i="12" s="1"/>
  <c r="W110" i="12" s="1"/>
  <c r="Z110" i="12" s="1"/>
  <c r="Q114" i="12"/>
  <c r="T114" i="12" s="1"/>
  <c r="W114" i="12" s="1"/>
  <c r="Z114" i="12" s="1"/>
  <c r="Q118" i="12"/>
  <c r="T118" i="12" s="1"/>
  <c r="W118" i="12" s="1"/>
  <c r="Z118" i="12" s="1"/>
  <c r="Q122" i="12"/>
  <c r="T122" i="12" s="1"/>
  <c r="W122" i="12" s="1"/>
  <c r="Z122" i="12" s="1"/>
  <c r="Q126" i="12"/>
  <c r="T126" i="12" s="1"/>
  <c r="W126" i="12" s="1"/>
  <c r="Z126" i="12" s="1"/>
  <c r="Q130" i="12"/>
  <c r="T130" i="12" s="1"/>
  <c r="W130" i="12" s="1"/>
  <c r="Z130" i="12" s="1"/>
  <c r="Q134" i="12"/>
  <c r="T134" i="12" s="1"/>
  <c r="W134" i="12" s="1"/>
  <c r="Z134" i="12" s="1"/>
  <c r="Q146" i="12"/>
  <c r="T146" i="12" s="1"/>
  <c r="W146" i="12" s="1"/>
  <c r="Z146" i="12" s="1"/>
  <c r="Q154" i="12"/>
  <c r="T154" i="12" s="1"/>
  <c r="W154" i="12" s="1"/>
  <c r="Z154" i="12" s="1"/>
  <c r="Q158" i="12"/>
  <c r="T158" i="12" s="1"/>
  <c r="W158" i="12" s="1"/>
  <c r="Z158" i="12" s="1"/>
  <c r="Q67" i="12"/>
  <c r="T67" i="12" s="1"/>
  <c r="W67" i="12" s="1"/>
  <c r="Z67" i="12" s="1"/>
  <c r="Q72" i="12"/>
  <c r="T72" i="12" s="1"/>
  <c r="W72" i="12" s="1"/>
  <c r="Z72" i="12" s="1"/>
  <c r="Q80" i="12"/>
  <c r="T80" i="12" s="1"/>
  <c r="W80" i="12" s="1"/>
  <c r="Z80" i="12" s="1"/>
  <c r="Q84" i="12"/>
  <c r="T84" i="12" s="1"/>
  <c r="W84" i="12" s="1"/>
  <c r="Z84" i="12" s="1"/>
  <c r="Q92" i="12"/>
  <c r="T92" i="12" s="1"/>
  <c r="W92" i="12" s="1"/>
  <c r="Z92" i="12" s="1"/>
  <c r="Q100" i="12"/>
  <c r="T100" i="12" s="1"/>
  <c r="W100" i="12" s="1"/>
  <c r="Z100" i="12" s="1"/>
  <c r="Q108" i="12"/>
  <c r="T108" i="12" s="1"/>
  <c r="W108" i="12" s="1"/>
  <c r="Z108" i="12" s="1"/>
  <c r="Q116" i="12"/>
  <c r="T116" i="12" s="1"/>
  <c r="W116" i="12" s="1"/>
  <c r="Z116" i="12" s="1"/>
  <c r="Q124" i="12"/>
  <c r="T124" i="12" s="1"/>
  <c r="W124" i="12" s="1"/>
  <c r="Z124" i="12" s="1"/>
  <c r="Q132" i="12"/>
  <c r="T132" i="12" s="1"/>
  <c r="W132" i="12" s="1"/>
  <c r="Z132" i="12" s="1"/>
  <c r="Q140" i="12"/>
  <c r="T140" i="12" s="1"/>
  <c r="W140" i="12" s="1"/>
  <c r="Z140" i="12" s="1"/>
  <c r="Q148" i="12"/>
  <c r="T148" i="12" s="1"/>
  <c r="W148" i="12" s="1"/>
  <c r="Z148" i="12" s="1"/>
  <c r="Q152" i="12"/>
  <c r="T152" i="12" s="1"/>
  <c r="W152" i="12" s="1"/>
  <c r="Z152" i="12" s="1"/>
  <c r="Q65" i="12"/>
  <c r="T65" i="12" s="1"/>
  <c r="W65" i="12" s="1"/>
  <c r="Z65" i="12" s="1"/>
  <c r="Q75" i="12"/>
  <c r="T75" i="12" s="1"/>
  <c r="W75" i="12" s="1"/>
  <c r="Z75" i="12" s="1"/>
  <c r="Q87" i="12"/>
  <c r="T87" i="12" s="1"/>
  <c r="W87" i="12" s="1"/>
  <c r="Z87" i="12" s="1"/>
  <c r="Q95" i="12"/>
  <c r="T95" i="12" s="1"/>
  <c r="W95" i="12" s="1"/>
  <c r="Z95" i="12" s="1"/>
  <c r="Q107" i="12"/>
  <c r="T107" i="12" s="1"/>
  <c r="W107" i="12" s="1"/>
  <c r="Z107" i="12" s="1"/>
  <c r="Q115" i="12"/>
  <c r="T115" i="12" s="1"/>
  <c r="W115" i="12" s="1"/>
  <c r="Z115" i="12" s="1"/>
  <c r="Q119" i="12"/>
  <c r="T119" i="12" s="1"/>
  <c r="W119" i="12" s="1"/>
  <c r="Z119" i="12" s="1"/>
  <c r="Q131" i="12"/>
  <c r="T131" i="12" s="1"/>
  <c r="W131" i="12" s="1"/>
  <c r="Z131" i="12" s="1"/>
  <c r="Q139" i="12"/>
  <c r="T139" i="12" s="1"/>
  <c r="W139" i="12" s="1"/>
  <c r="Z139" i="12" s="1"/>
  <c r="Q147" i="12"/>
  <c r="T147" i="12" s="1"/>
  <c r="W147" i="12" s="1"/>
  <c r="Z147" i="12" s="1"/>
  <c r="Q151" i="12"/>
  <c r="T151" i="12" s="1"/>
  <c r="W151" i="12" s="1"/>
  <c r="Z151" i="12" s="1"/>
  <c r="Q64" i="12"/>
  <c r="T64" i="12" s="1"/>
  <c r="W64" i="12" s="1"/>
  <c r="Z64" i="12" s="1"/>
  <c r="Q73" i="12"/>
  <c r="T73" i="12" s="1"/>
  <c r="W73" i="12" s="1"/>
  <c r="Z73" i="12" s="1"/>
  <c r="Q77" i="12"/>
  <c r="T77" i="12" s="1"/>
  <c r="W77" i="12" s="1"/>
  <c r="Z77" i="12" s="1"/>
  <c r="Q81" i="12"/>
  <c r="T81" i="12" s="1"/>
  <c r="W81" i="12" s="1"/>
  <c r="Z81" i="12" s="1"/>
  <c r="Q85" i="12"/>
  <c r="T85" i="12" s="1"/>
  <c r="W85" i="12" s="1"/>
  <c r="Z85" i="12" s="1"/>
  <c r="Q89" i="12"/>
  <c r="T89" i="12" s="1"/>
  <c r="W89" i="12" s="1"/>
  <c r="Z89" i="12" s="1"/>
  <c r="Q93" i="12"/>
  <c r="T93" i="12" s="1"/>
  <c r="W93" i="12" s="1"/>
  <c r="Z93" i="12" s="1"/>
  <c r="Q97" i="12"/>
  <c r="T97" i="12" s="1"/>
  <c r="W97" i="12" s="1"/>
  <c r="Z97" i="12" s="1"/>
  <c r="Q101" i="12"/>
  <c r="T101" i="12" s="1"/>
  <c r="W101" i="12" s="1"/>
  <c r="Z101" i="12" s="1"/>
  <c r="Q105" i="12"/>
  <c r="T105" i="12" s="1"/>
  <c r="W105" i="12" s="1"/>
  <c r="Z105" i="12" s="1"/>
  <c r="Q109" i="12"/>
  <c r="T109" i="12" s="1"/>
  <c r="W109" i="12" s="1"/>
  <c r="Z109" i="12" s="1"/>
  <c r="Q117" i="12"/>
  <c r="T117" i="12" s="1"/>
  <c r="W117" i="12" s="1"/>
  <c r="Z117" i="12" s="1"/>
  <c r="Q125" i="12"/>
  <c r="T125" i="12" s="1"/>
  <c r="W125" i="12" s="1"/>
  <c r="Z125" i="12" s="1"/>
  <c r="Q133" i="12"/>
  <c r="T133" i="12" s="1"/>
  <c r="W133" i="12" s="1"/>
  <c r="Z133" i="12" s="1"/>
  <c r="Q137" i="12"/>
  <c r="T137" i="12" s="1"/>
  <c r="W137" i="12" s="1"/>
  <c r="Z137" i="12" s="1"/>
  <c r="Q141" i="12"/>
  <c r="T141" i="12" s="1"/>
  <c r="W141" i="12" s="1"/>
  <c r="Z141" i="12" s="1"/>
  <c r="Q145" i="12"/>
  <c r="T145" i="12" s="1"/>
  <c r="W145" i="12" s="1"/>
  <c r="Z145" i="12" s="1"/>
  <c r="Q149" i="12"/>
  <c r="T149" i="12" s="1"/>
  <c r="W149" i="12" s="1"/>
  <c r="Z149" i="12" s="1"/>
  <c r="Q66" i="12"/>
  <c r="T66" i="12" s="1"/>
  <c r="W66" i="12" s="1"/>
  <c r="Z66" i="12" s="1"/>
  <c r="Q63" i="12"/>
  <c r="T63" i="12" s="1"/>
  <c r="W63" i="12" s="1"/>
  <c r="Z63" i="12" s="1"/>
  <c r="Q76" i="12"/>
  <c r="T76" i="12" s="1"/>
  <c r="W76" i="12" s="1"/>
  <c r="Z76" i="12" s="1"/>
  <c r="Q88" i="12"/>
  <c r="T88" i="12" s="1"/>
  <c r="W88" i="12" s="1"/>
  <c r="Z88" i="12" s="1"/>
  <c r="Q96" i="12"/>
  <c r="T96" i="12" s="1"/>
  <c r="W96" i="12" s="1"/>
  <c r="Z96" i="12" s="1"/>
  <c r="Q104" i="12"/>
  <c r="T104" i="12" s="1"/>
  <c r="W104" i="12" s="1"/>
  <c r="Z104" i="12" s="1"/>
  <c r="Q112" i="12"/>
  <c r="T112" i="12" s="1"/>
  <c r="W112" i="12" s="1"/>
  <c r="Z112" i="12" s="1"/>
  <c r="Q120" i="12"/>
  <c r="T120" i="12" s="1"/>
  <c r="W120" i="12" s="1"/>
  <c r="Z120" i="12" s="1"/>
  <c r="Q128" i="12"/>
  <c r="T128" i="12" s="1"/>
  <c r="W128" i="12" s="1"/>
  <c r="Z128" i="12" s="1"/>
  <c r="Q136" i="12"/>
  <c r="T136" i="12" s="1"/>
  <c r="W136" i="12" s="1"/>
  <c r="Z136" i="12" s="1"/>
  <c r="Q144" i="12"/>
  <c r="T144" i="12" s="1"/>
  <c r="W144" i="12" s="1"/>
  <c r="Z144" i="12" s="1"/>
  <c r="Q71" i="12"/>
  <c r="T71" i="12" s="1"/>
  <c r="W71" i="12" s="1"/>
  <c r="Z71" i="12" s="1"/>
  <c r="Q79" i="12"/>
  <c r="T79" i="12" s="1"/>
  <c r="W79" i="12" s="1"/>
  <c r="Z79" i="12" s="1"/>
  <c r="Q91" i="12"/>
  <c r="T91" i="12" s="1"/>
  <c r="W91" i="12" s="1"/>
  <c r="Z91" i="12" s="1"/>
  <c r="Q99" i="12"/>
  <c r="T99" i="12" s="1"/>
  <c r="W99" i="12" s="1"/>
  <c r="Z99" i="12" s="1"/>
  <c r="Q103" i="12"/>
  <c r="T103" i="12" s="1"/>
  <c r="W103" i="12" s="1"/>
  <c r="Z103" i="12" s="1"/>
  <c r="Q123" i="12"/>
  <c r="T123" i="12" s="1"/>
  <c r="W123" i="12" s="1"/>
  <c r="Z123" i="12" s="1"/>
  <c r="Q127" i="12"/>
  <c r="T127" i="12" s="1"/>
  <c r="W127" i="12" s="1"/>
  <c r="Z127" i="12" s="1"/>
  <c r="Q135" i="12"/>
  <c r="T135" i="12" s="1"/>
  <c r="W135" i="12" s="1"/>
  <c r="Z135" i="12" s="1"/>
  <c r="Q143" i="12"/>
  <c r="T143" i="12" s="1"/>
  <c r="W143" i="12" s="1"/>
  <c r="Z143" i="12" s="1"/>
  <c r="AD122" i="12"/>
  <c r="AG122" i="12" s="1"/>
  <c r="AJ122" i="12" s="1"/>
  <c r="AM122" i="12" s="1"/>
  <c r="AC100" i="12"/>
  <c r="AF100" i="12" s="1"/>
  <c r="AI100" i="12" s="1"/>
  <c r="AL100" i="12" s="1"/>
  <c r="D18" i="3"/>
  <c r="H72" i="2"/>
  <c r="H74" i="2"/>
  <c r="C72" i="2"/>
  <c r="S66" i="1" s="1"/>
  <c r="C73" i="2"/>
  <c r="H73" i="2"/>
  <c r="C74" i="2"/>
  <c r="C81" i="2"/>
  <c r="T66" i="1" s="1"/>
  <c r="H83" i="2"/>
  <c r="H82" i="2"/>
  <c r="C82" i="2"/>
  <c r="C83" i="2"/>
  <c r="H81" i="2"/>
  <c r="B15" i="3"/>
  <c r="D15" i="3"/>
  <c r="C15" i="3"/>
  <c r="C27" i="3"/>
  <c r="V66" i="1" l="1"/>
  <c r="W66" i="1"/>
  <c r="AB63" i="12"/>
  <c r="AE63" i="12" s="1"/>
  <c r="AH63" i="12" s="1"/>
  <c r="AK63" i="12" s="1"/>
  <c r="AB64" i="12"/>
  <c r="AE64" i="12" s="1"/>
  <c r="AH64" i="12" s="1"/>
  <c r="AK64" i="12" s="1"/>
  <c r="AB68" i="12"/>
  <c r="AE68" i="12" s="1"/>
  <c r="AH68" i="12" s="1"/>
  <c r="AK68" i="12" s="1"/>
  <c r="AB72" i="12"/>
  <c r="AE72" i="12" s="1"/>
  <c r="AH72" i="12" s="1"/>
  <c r="AK72" i="12" s="1"/>
  <c r="AB76" i="12"/>
  <c r="AE76" i="12" s="1"/>
  <c r="AH76" i="12" s="1"/>
  <c r="AK76" i="12" s="1"/>
  <c r="AB65" i="12"/>
  <c r="AE65" i="12" s="1"/>
  <c r="AH65" i="12" s="1"/>
  <c r="AK65" i="12" s="1"/>
  <c r="AB69" i="12"/>
  <c r="AE69" i="12" s="1"/>
  <c r="AH69" i="12" s="1"/>
  <c r="AK69" i="12" s="1"/>
  <c r="AB73" i="12"/>
  <c r="AE73" i="12" s="1"/>
  <c r="AH73" i="12" s="1"/>
  <c r="AK73" i="12" s="1"/>
  <c r="AB77" i="12"/>
  <c r="AE77" i="12" s="1"/>
  <c r="AH77" i="12" s="1"/>
  <c r="AK77" i="12" s="1"/>
  <c r="AB66" i="12"/>
  <c r="AE66" i="12" s="1"/>
  <c r="AH66" i="12" s="1"/>
  <c r="AK66" i="12" s="1"/>
  <c r="AB70" i="12"/>
  <c r="AE70" i="12" s="1"/>
  <c r="AH70" i="12" s="1"/>
  <c r="AK70" i="12" s="1"/>
  <c r="AB74" i="12"/>
  <c r="AE74" i="12" s="1"/>
  <c r="AH74" i="12" s="1"/>
  <c r="AK74" i="12" s="1"/>
  <c r="AB78" i="12"/>
  <c r="AE78" i="12" s="1"/>
  <c r="AH78" i="12" s="1"/>
  <c r="AK78" i="12" s="1"/>
  <c r="AB67" i="12"/>
  <c r="AE67" i="12" s="1"/>
  <c r="AH67" i="12" s="1"/>
  <c r="AK67" i="12" s="1"/>
  <c r="AB71" i="12"/>
  <c r="AE71" i="12" s="1"/>
  <c r="AH71" i="12" s="1"/>
  <c r="AK71" i="12" s="1"/>
  <c r="AB75" i="12"/>
  <c r="AE75" i="12" s="1"/>
  <c r="AH75" i="12" s="1"/>
  <c r="AK75" i="12" s="1"/>
  <c r="AD91" i="12"/>
  <c r="AG91" i="12" s="1"/>
  <c r="AJ91" i="12" s="1"/>
  <c r="AM91" i="12" s="1"/>
  <c r="C43" i="12"/>
  <c r="C44" i="12"/>
  <c r="C45" i="12"/>
  <c r="C48" i="12" s="1"/>
  <c r="H156" i="2" s="1"/>
  <c r="E45" i="12"/>
  <c r="E43" i="12"/>
  <c r="E44" i="12"/>
  <c r="D44" i="12"/>
  <c r="D45" i="12"/>
  <c r="D43" i="12"/>
  <c r="AD78" i="12"/>
  <c r="AG78" i="12" s="1"/>
  <c r="AJ78" i="12" s="1"/>
  <c r="AM78" i="12" s="1"/>
  <c r="AD115" i="12"/>
  <c r="AG115" i="12" s="1"/>
  <c r="AJ115" i="12" s="1"/>
  <c r="AM115" i="12" s="1"/>
  <c r="AD125" i="12"/>
  <c r="AG125" i="12" s="1"/>
  <c r="AJ125" i="12" s="1"/>
  <c r="AM125" i="12" s="1"/>
  <c r="AD74" i="12"/>
  <c r="AG74" i="12" s="1"/>
  <c r="AJ74" i="12" s="1"/>
  <c r="AM74" i="12" s="1"/>
  <c r="AD121" i="12"/>
  <c r="AG121" i="12" s="1"/>
  <c r="AJ121" i="12" s="1"/>
  <c r="AM121" i="12" s="1"/>
  <c r="C137" i="2"/>
  <c r="C138" i="2"/>
  <c r="C136" i="2"/>
  <c r="S68" i="1" s="1"/>
  <c r="AD118" i="12"/>
  <c r="AG118" i="12" s="1"/>
  <c r="AJ118" i="12" s="1"/>
  <c r="AM118" i="12" s="1"/>
  <c r="AD154" i="12"/>
  <c r="AG154" i="12" s="1"/>
  <c r="AJ154" i="12" s="1"/>
  <c r="AM154" i="12" s="1"/>
  <c r="AD79" i="12"/>
  <c r="AG79" i="12" s="1"/>
  <c r="AJ79" i="12" s="1"/>
  <c r="AM79" i="12" s="1"/>
  <c r="AD119" i="12"/>
  <c r="AG119" i="12" s="1"/>
  <c r="AJ119" i="12" s="1"/>
  <c r="AM119" i="12" s="1"/>
  <c r="AD112" i="12"/>
  <c r="AG112" i="12" s="1"/>
  <c r="AJ112" i="12" s="1"/>
  <c r="AM112" i="12" s="1"/>
  <c r="AC145" i="12"/>
  <c r="AF145" i="12" s="1"/>
  <c r="AI145" i="12" s="1"/>
  <c r="AL145" i="12" s="1"/>
  <c r="AD98" i="12"/>
  <c r="AG98" i="12" s="1"/>
  <c r="AJ98" i="12" s="1"/>
  <c r="AM98" i="12" s="1"/>
  <c r="AD84" i="12"/>
  <c r="AG84" i="12" s="1"/>
  <c r="AJ84" i="12" s="1"/>
  <c r="AM84" i="12" s="1"/>
  <c r="AD87" i="12"/>
  <c r="AG87" i="12" s="1"/>
  <c r="AJ87" i="12" s="1"/>
  <c r="AM87" i="12" s="1"/>
  <c r="AD139" i="12"/>
  <c r="AG139" i="12" s="1"/>
  <c r="AJ139" i="12" s="1"/>
  <c r="AM139" i="12" s="1"/>
  <c r="AC113" i="12"/>
  <c r="AF113" i="12" s="1"/>
  <c r="AI113" i="12" s="1"/>
  <c r="AL113" i="12" s="1"/>
  <c r="AC121" i="12"/>
  <c r="AF121" i="12" s="1"/>
  <c r="AI121" i="12" s="1"/>
  <c r="AL121" i="12" s="1"/>
  <c r="AD133" i="12"/>
  <c r="AG133" i="12" s="1"/>
  <c r="AJ133" i="12" s="1"/>
  <c r="AM133" i="12" s="1"/>
  <c r="AD143" i="12"/>
  <c r="AG143" i="12" s="1"/>
  <c r="AJ143" i="12" s="1"/>
  <c r="AM143" i="12" s="1"/>
  <c r="AD96" i="12"/>
  <c r="AG96" i="12" s="1"/>
  <c r="AJ96" i="12" s="1"/>
  <c r="AM96" i="12" s="1"/>
  <c r="AD100" i="12"/>
  <c r="AG100" i="12" s="1"/>
  <c r="AJ100" i="12" s="1"/>
  <c r="AM100" i="12" s="1"/>
  <c r="AD73" i="12"/>
  <c r="AG73" i="12" s="1"/>
  <c r="AJ73" i="12" s="1"/>
  <c r="AM73" i="12" s="1"/>
  <c r="AC148" i="12"/>
  <c r="AF148" i="12" s="1"/>
  <c r="AI148" i="12" s="1"/>
  <c r="AL148" i="12" s="1"/>
  <c r="AD117" i="12"/>
  <c r="AG117" i="12" s="1"/>
  <c r="AJ117" i="12" s="1"/>
  <c r="AM117" i="12" s="1"/>
  <c r="AD102" i="12"/>
  <c r="AG102" i="12" s="1"/>
  <c r="AJ102" i="12" s="1"/>
  <c r="AM102" i="12" s="1"/>
  <c r="AD134" i="12"/>
  <c r="AG134" i="12" s="1"/>
  <c r="AJ134" i="12" s="1"/>
  <c r="AM134" i="12" s="1"/>
  <c r="AD153" i="12"/>
  <c r="AG153" i="12" s="1"/>
  <c r="AJ153" i="12" s="1"/>
  <c r="AM153" i="12" s="1"/>
  <c r="AD128" i="12"/>
  <c r="AG128" i="12" s="1"/>
  <c r="AJ128" i="12" s="1"/>
  <c r="AM128" i="12" s="1"/>
  <c r="AD126" i="12"/>
  <c r="AG126" i="12" s="1"/>
  <c r="AJ126" i="12" s="1"/>
  <c r="AM126" i="12" s="1"/>
  <c r="AD129" i="12"/>
  <c r="AG129" i="12" s="1"/>
  <c r="AJ129" i="12" s="1"/>
  <c r="AM129" i="12" s="1"/>
  <c r="AD64" i="12"/>
  <c r="AG64" i="12" s="1"/>
  <c r="AJ64" i="12" s="1"/>
  <c r="AM64" i="12" s="1"/>
  <c r="AD131" i="12"/>
  <c r="AG131" i="12" s="1"/>
  <c r="AJ131" i="12" s="1"/>
  <c r="AM131" i="12" s="1"/>
  <c r="AC77" i="12"/>
  <c r="AF77" i="12" s="1"/>
  <c r="AI77" i="12" s="1"/>
  <c r="AL77" i="12" s="1"/>
  <c r="AC82" i="12"/>
  <c r="AF82" i="12" s="1"/>
  <c r="AI82" i="12" s="1"/>
  <c r="AL82" i="12" s="1"/>
  <c r="AC84" i="12"/>
  <c r="AF84" i="12" s="1"/>
  <c r="AI84" i="12" s="1"/>
  <c r="AL84" i="12" s="1"/>
  <c r="AC115" i="12"/>
  <c r="AF115" i="12" s="1"/>
  <c r="AI115" i="12" s="1"/>
  <c r="AL115" i="12" s="1"/>
  <c r="AC140" i="12"/>
  <c r="AF140" i="12" s="1"/>
  <c r="AI140" i="12" s="1"/>
  <c r="AL140" i="12" s="1"/>
  <c r="AC72" i="12"/>
  <c r="AF72" i="12" s="1"/>
  <c r="AI72" i="12" s="1"/>
  <c r="AL72" i="12" s="1"/>
  <c r="AD111" i="12"/>
  <c r="AG111" i="12" s="1"/>
  <c r="AJ111" i="12" s="1"/>
  <c r="AM111" i="12" s="1"/>
  <c r="AD140" i="12"/>
  <c r="AG140" i="12" s="1"/>
  <c r="AJ140" i="12" s="1"/>
  <c r="AM140" i="12" s="1"/>
  <c r="AD76" i="12"/>
  <c r="AG76" i="12" s="1"/>
  <c r="AJ76" i="12" s="1"/>
  <c r="AM76" i="12" s="1"/>
  <c r="AD81" i="12"/>
  <c r="AG81" i="12" s="1"/>
  <c r="AJ81" i="12" s="1"/>
  <c r="AM81" i="12" s="1"/>
  <c r="AD68" i="12"/>
  <c r="AG68" i="12" s="1"/>
  <c r="AJ68" i="12" s="1"/>
  <c r="AM68" i="12" s="1"/>
  <c r="AD151" i="12"/>
  <c r="AG151" i="12" s="1"/>
  <c r="AJ151" i="12" s="1"/>
  <c r="AM151" i="12" s="1"/>
  <c r="AD93" i="12"/>
  <c r="AG93" i="12" s="1"/>
  <c r="AJ93" i="12" s="1"/>
  <c r="AM93" i="12" s="1"/>
  <c r="AD148" i="12"/>
  <c r="AG148" i="12" s="1"/>
  <c r="AJ148" i="12" s="1"/>
  <c r="AM148" i="12" s="1"/>
  <c r="AD63" i="12"/>
  <c r="AG63" i="12" s="1"/>
  <c r="AJ63" i="12" s="1"/>
  <c r="AM63" i="12" s="1"/>
  <c r="AC70" i="12"/>
  <c r="AF70" i="12" s="1"/>
  <c r="AI70" i="12" s="1"/>
  <c r="AL70" i="12" s="1"/>
  <c r="AC75" i="12"/>
  <c r="AF75" i="12" s="1"/>
  <c r="AI75" i="12" s="1"/>
  <c r="AL75" i="12" s="1"/>
  <c r="AC152" i="12"/>
  <c r="AF152" i="12" s="1"/>
  <c r="AI152" i="12" s="1"/>
  <c r="AL152" i="12" s="1"/>
  <c r="AC71" i="12"/>
  <c r="AF71" i="12" s="1"/>
  <c r="AI71" i="12" s="1"/>
  <c r="AL71" i="12" s="1"/>
  <c r="AD75" i="12"/>
  <c r="AG75" i="12" s="1"/>
  <c r="AJ75" i="12" s="1"/>
  <c r="AM75" i="12" s="1"/>
  <c r="AD83" i="12"/>
  <c r="AG83" i="12" s="1"/>
  <c r="AJ83" i="12" s="1"/>
  <c r="AM83" i="12" s="1"/>
  <c r="AD136" i="12"/>
  <c r="AG136" i="12" s="1"/>
  <c r="AJ136" i="12" s="1"/>
  <c r="AM136" i="12" s="1"/>
  <c r="AD152" i="12"/>
  <c r="AG152" i="12" s="1"/>
  <c r="AJ152" i="12" s="1"/>
  <c r="AM152" i="12" s="1"/>
  <c r="AD94" i="12"/>
  <c r="AG94" i="12" s="1"/>
  <c r="AJ94" i="12" s="1"/>
  <c r="AM94" i="12" s="1"/>
  <c r="AD145" i="12"/>
  <c r="AG145" i="12" s="1"/>
  <c r="AJ145" i="12" s="1"/>
  <c r="AM145" i="12" s="1"/>
  <c r="AD114" i="12"/>
  <c r="AG114" i="12" s="1"/>
  <c r="AJ114" i="12" s="1"/>
  <c r="AM114" i="12" s="1"/>
  <c r="AD80" i="12"/>
  <c r="AG80" i="12" s="1"/>
  <c r="AJ80" i="12" s="1"/>
  <c r="AM80" i="12" s="1"/>
  <c r="AD89" i="12"/>
  <c r="AG89" i="12" s="1"/>
  <c r="AJ89" i="12" s="1"/>
  <c r="AM89" i="12" s="1"/>
  <c r="AD106" i="12"/>
  <c r="AG106" i="12" s="1"/>
  <c r="AJ106" i="12" s="1"/>
  <c r="AM106" i="12" s="1"/>
  <c r="AC85" i="12"/>
  <c r="AF85" i="12" s="1"/>
  <c r="AI85" i="12" s="1"/>
  <c r="AL85" i="12" s="1"/>
  <c r="AC116" i="12"/>
  <c r="AF116" i="12" s="1"/>
  <c r="AI116" i="12" s="1"/>
  <c r="AL116" i="12" s="1"/>
  <c r="AC129" i="12"/>
  <c r="AF129" i="12" s="1"/>
  <c r="AI129" i="12" s="1"/>
  <c r="AL129" i="12" s="1"/>
  <c r="AC67" i="12"/>
  <c r="AF67" i="12" s="1"/>
  <c r="AI67" i="12" s="1"/>
  <c r="AL67" i="12" s="1"/>
  <c r="AC146" i="12"/>
  <c r="AF146" i="12" s="1"/>
  <c r="AI146" i="12" s="1"/>
  <c r="AL146" i="12" s="1"/>
  <c r="AC122" i="12"/>
  <c r="AF122" i="12" s="1"/>
  <c r="AI122" i="12" s="1"/>
  <c r="AL122" i="12" s="1"/>
  <c r="AD108" i="12"/>
  <c r="AG108" i="12" s="1"/>
  <c r="AJ108" i="12" s="1"/>
  <c r="AM108" i="12" s="1"/>
  <c r="AD124" i="12"/>
  <c r="AG124" i="12" s="1"/>
  <c r="AJ124" i="12" s="1"/>
  <c r="AM124" i="12" s="1"/>
  <c r="AD101" i="12"/>
  <c r="AG101" i="12" s="1"/>
  <c r="AJ101" i="12" s="1"/>
  <c r="AM101" i="12" s="1"/>
  <c r="AD86" i="12"/>
  <c r="AG86" i="12" s="1"/>
  <c r="AJ86" i="12" s="1"/>
  <c r="AM86" i="12" s="1"/>
  <c r="AD109" i="12"/>
  <c r="AG109" i="12" s="1"/>
  <c r="AJ109" i="12" s="1"/>
  <c r="AM109" i="12" s="1"/>
  <c r="AD70" i="12"/>
  <c r="AG70" i="12" s="1"/>
  <c r="AJ70" i="12" s="1"/>
  <c r="AM70" i="12" s="1"/>
  <c r="AD69" i="12"/>
  <c r="AG69" i="12" s="1"/>
  <c r="AJ69" i="12" s="1"/>
  <c r="AM69" i="12" s="1"/>
  <c r="AD149" i="12"/>
  <c r="AG149" i="12" s="1"/>
  <c r="AJ149" i="12" s="1"/>
  <c r="AM149" i="12" s="1"/>
  <c r="AD66" i="12"/>
  <c r="AG66" i="12" s="1"/>
  <c r="AJ66" i="12" s="1"/>
  <c r="AM66" i="12" s="1"/>
  <c r="AD104" i="12"/>
  <c r="AG104" i="12" s="1"/>
  <c r="AJ104" i="12" s="1"/>
  <c r="AM104" i="12" s="1"/>
  <c r="AD95" i="12"/>
  <c r="AG95" i="12" s="1"/>
  <c r="AJ95" i="12" s="1"/>
  <c r="AM95" i="12" s="1"/>
  <c r="AD137" i="12"/>
  <c r="AG137" i="12" s="1"/>
  <c r="AJ137" i="12" s="1"/>
  <c r="AM137" i="12" s="1"/>
  <c r="AD146" i="12"/>
  <c r="AG146" i="12" s="1"/>
  <c r="AJ146" i="12" s="1"/>
  <c r="AM146" i="12" s="1"/>
  <c r="AD97" i="12"/>
  <c r="AG97" i="12" s="1"/>
  <c r="AJ97" i="12" s="1"/>
  <c r="AM97" i="12" s="1"/>
  <c r="AD82" i="12"/>
  <c r="AG82" i="12" s="1"/>
  <c r="AJ82" i="12" s="1"/>
  <c r="AM82" i="12" s="1"/>
  <c r="AD72" i="12"/>
  <c r="AG72" i="12" s="1"/>
  <c r="AJ72" i="12" s="1"/>
  <c r="AM72" i="12" s="1"/>
  <c r="AD71" i="12"/>
  <c r="AG71" i="12" s="1"/>
  <c r="AJ71" i="12" s="1"/>
  <c r="AM71" i="12" s="1"/>
  <c r="AD67" i="12"/>
  <c r="AG67" i="12" s="1"/>
  <c r="AJ67" i="12" s="1"/>
  <c r="AM67" i="12" s="1"/>
  <c r="AD90" i="12"/>
  <c r="AG90" i="12" s="1"/>
  <c r="AJ90" i="12" s="1"/>
  <c r="AM90" i="12" s="1"/>
  <c r="AD107" i="12"/>
  <c r="AG107" i="12" s="1"/>
  <c r="AJ107" i="12" s="1"/>
  <c r="AM107" i="12" s="1"/>
  <c r="AD147" i="12"/>
  <c r="AG147" i="12" s="1"/>
  <c r="AJ147" i="12" s="1"/>
  <c r="AM147" i="12" s="1"/>
  <c r="AD144" i="12"/>
  <c r="AG144" i="12" s="1"/>
  <c r="AJ144" i="12" s="1"/>
  <c r="AM144" i="12" s="1"/>
  <c r="AD92" i="12"/>
  <c r="AG92" i="12" s="1"/>
  <c r="AJ92" i="12" s="1"/>
  <c r="AM92" i="12" s="1"/>
  <c r="AD85" i="12"/>
  <c r="AG85" i="12" s="1"/>
  <c r="AJ85" i="12" s="1"/>
  <c r="AM85" i="12" s="1"/>
  <c r="AD113" i="12"/>
  <c r="AG113" i="12" s="1"/>
  <c r="AJ113" i="12" s="1"/>
  <c r="AM113" i="12" s="1"/>
  <c r="AD130" i="12"/>
  <c r="AG130" i="12" s="1"/>
  <c r="AJ130" i="12" s="1"/>
  <c r="AM130" i="12" s="1"/>
  <c r="AD120" i="12"/>
  <c r="AG120" i="12" s="1"/>
  <c r="AJ120" i="12" s="1"/>
  <c r="AM120" i="12" s="1"/>
  <c r="AD127" i="12"/>
  <c r="AG127" i="12" s="1"/>
  <c r="AJ127" i="12" s="1"/>
  <c r="AM127" i="12" s="1"/>
  <c r="AD116" i="12"/>
  <c r="AG116" i="12" s="1"/>
  <c r="AJ116" i="12" s="1"/>
  <c r="AM116" i="12" s="1"/>
  <c r="AD123" i="12"/>
  <c r="AG123" i="12" s="1"/>
  <c r="AJ123" i="12" s="1"/>
  <c r="AM123" i="12" s="1"/>
  <c r="AD110" i="12"/>
  <c r="AG110" i="12" s="1"/>
  <c r="AJ110" i="12" s="1"/>
  <c r="AM110" i="12" s="1"/>
  <c r="AD77" i="12"/>
  <c r="AG77" i="12" s="1"/>
  <c r="AJ77" i="12" s="1"/>
  <c r="AM77" i="12" s="1"/>
  <c r="AD65" i="12"/>
  <c r="AG65" i="12" s="1"/>
  <c r="AJ65" i="12" s="1"/>
  <c r="AM65" i="12" s="1"/>
  <c r="AD150" i="12"/>
  <c r="AG150" i="12" s="1"/>
  <c r="AJ150" i="12" s="1"/>
  <c r="AM150" i="12" s="1"/>
  <c r="AD88" i="12"/>
  <c r="AG88" i="12" s="1"/>
  <c r="AJ88" i="12" s="1"/>
  <c r="AM88" i="12" s="1"/>
  <c r="AD135" i="12"/>
  <c r="AG135" i="12" s="1"/>
  <c r="AJ135" i="12" s="1"/>
  <c r="AM135" i="12" s="1"/>
  <c r="AD141" i="12"/>
  <c r="AG141" i="12" s="1"/>
  <c r="AJ141" i="12" s="1"/>
  <c r="AM141" i="12" s="1"/>
  <c r="AD142" i="12"/>
  <c r="AG142" i="12" s="1"/>
  <c r="AJ142" i="12" s="1"/>
  <c r="AM142" i="12" s="1"/>
  <c r="AC150" i="12"/>
  <c r="AF150" i="12" s="1"/>
  <c r="AI150" i="12" s="1"/>
  <c r="AL150" i="12" s="1"/>
  <c r="AC92" i="12"/>
  <c r="AF92" i="12" s="1"/>
  <c r="AI92" i="12" s="1"/>
  <c r="AL92" i="12" s="1"/>
  <c r="AC103" i="12"/>
  <c r="AF103" i="12" s="1"/>
  <c r="AI103" i="12" s="1"/>
  <c r="AL103" i="12" s="1"/>
  <c r="AC80" i="12"/>
  <c r="AF80" i="12" s="1"/>
  <c r="AI80" i="12" s="1"/>
  <c r="AL80" i="12" s="1"/>
  <c r="AC79" i="12"/>
  <c r="AF79" i="12" s="1"/>
  <c r="AI79" i="12" s="1"/>
  <c r="AL79" i="12" s="1"/>
  <c r="AC94" i="12"/>
  <c r="AF94" i="12" s="1"/>
  <c r="AI94" i="12" s="1"/>
  <c r="AL94" i="12" s="1"/>
  <c r="AC81" i="12"/>
  <c r="AF81" i="12" s="1"/>
  <c r="AI81" i="12" s="1"/>
  <c r="AL81" i="12" s="1"/>
  <c r="AC98" i="12"/>
  <c r="AF98" i="12" s="1"/>
  <c r="AI98" i="12" s="1"/>
  <c r="AL98" i="12" s="1"/>
  <c r="AC130" i="12"/>
  <c r="AF130" i="12" s="1"/>
  <c r="AI130" i="12" s="1"/>
  <c r="AL130" i="12" s="1"/>
  <c r="AC96" i="12"/>
  <c r="AF96" i="12" s="1"/>
  <c r="AI96" i="12" s="1"/>
  <c r="AL96" i="12" s="1"/>
  <c r="AC132" i="12"/>
  <c r="AF132" i="12" s="1"/>
  <c r="AI132" i="12" s="1"/>
  <c r="AL132" i="12" s="1"/>
  <c r="AC142" i="12"/>
  <c r="AF142" i="12" s="1"/>
  <c r="AI142" i="12" s="1"/>
  <c r="AL142" i="12" s="1"/>
  <c r="AC101" i="12"/>
  <c r="AF101" i="12" s="1"/>
  <c r="AI101" i="12" s="1"/>
  <c r="AL101" i="12" s="1"/>
  <c r="AC90" i="12"/>
  <c r="AF90" i="12" s="1"/>
  <c r="AI90" i="12" s="1"/>
  <c r="AL90" i="12" s="1"/>
  <c r="AC91" i="12"/>
  <c r="AF91" i="12" s="1"/>
  <c r="AI91" i="12" s="1"/>
  <c r="AL91" i="12" s="1"/>
  <c r="AC126" i="12"/>
  <c r="AF126" i="12" s="1"/>
  <c r="AI126" i="12" s="1"/>
  <c r="AL126" i="12" s="1"/>
  <c r="AC133" i="12"/>
  <c r="AF133" i="12" s="1"/>
  <c r="AI133" i="12" s="1"/>
  <c r="AL133" i="12" s="1"/>
  <c r="AC119" i="12"/>
  <c r="AF119" i="12" s="1"/>
  <c r="AI119" i="12" s="1"/>
  <c r="AL119" i="12" s="1"/>
  <c r="AC65" i="12"/>
  <c r="AF65" i="12" s="1"/>
  <c r="AI65" i="12" s="1"/>
  <c r="AL65" i="12" s="1"/>
  <c r="AC108" i="12"/>
  <c r="AF108" i="12" s="1"/>
  <c r="AI108" i="12" s="1"/>
  <c r="AL108" i="12" s="1"/>
  <c r="AC87" i="12"/>
  <c r="AF87" i="12" s="1"/>
  <c r="AI87" i="12" s="1"/>
  <c r="AL87" i="12" s="1"/>
  <c r="AC109" i="12"/>
  <c r="AF109" i="12" s="1"/>
  <c r="AI109" i="12" s="1"/>
  <c r="AL109" i="12" s="1"/>
  <c r="AC107" i="12"/>
  <c r="AF107" i="12" s="1"/>
  <c r="AI107" i="12" s="1"/>
  <c r="AL107" i="12" s="1"/>
  <c r="AC154" i="12"/>
  <c r="AF154" i="12" s="1"/>
  <c r="AI154" i="12" s="1"/>
  <c r="AL154" i="12" s="1"/>
  <c r="AC102" i="12"/>
  <c r="AF102" i="12" s="1"/>
  <c r="AI102" i="12" s="1"/>
  <c r="AL102" i="12" s="1"/>
  <c r="AC127" i="12"/>
  <c r="AF127" i="12" s="1"/>
  <c r="AI127" i="12" s="1"/>
  <c r="AL127" i="12" s="1"/>
  <c r="AC86" i="12"/>
  <c r="AF86" i="12" s="1"/>
  <c r="AI86" i="12" s="1"/>
  <c r="AL86" i="12" s="1"/>
  <c r="AC106" i="12"/>
  <c r="AF106" i="12" s="1"/>
  <c r="AI106" i="12" s="1"/>
  <c r="AL106" i="12" s="1"/>
  <c r="AC63" i="12"/>
  <c r="AF63" i="12" s="1"/>
  <c r="AI63" i="12" s="1"/>
  <c r="AL63" i="12" s="1"/>
  <c r="AC89" i="12"/>
  <c r="AF89" i="12" s="1"/>
  <c r="AI89" i="12" s="1"/>
  <c r="AL89" i="12" s="1"/>
  <c r="AC112" i="12"/>
  <c r="AF112" i="12" s="1"/>
  <c r="AI112" i="12" s="1"/>
  <c r="AL112" i="12" s="1"/>
  <c r="AC156" i="12"/>
  <c r="AF156" i="12" s="1"/>
  <c r="AI156" i="12" s="1"/>
  <c r="AL156" i="12" s="1"/>
  <c r="AC143" i="12"/>
  <c r="AF143" i="12" s="1"/>
  <c r="AI143" i="12" s="1"/>
  <c r="AL143" i="12" s="1"/>
  <c r="AC74" i="12"/>
  <c r="AF74" i="12" s="1"/>
  <c r="AI74" i="12" s="1"/>
  <c r="AL74" i="12" s="1"/>
  <c r="AC99" i="12"/>
  <c r="AF99" i="12" s="1"/>
  <c r="AI99" i="12" s="1"/>
  <c r="AL99" i="12" s="1"/>
  <c r="AC66" i="12"/>
  <c r="AF66" i="12" s="1"/>
  <c r="AI66" i="12" s="1"/>
  <c r="AL66" i="12" s="1"/>
  <c r="AC97" i="12"/>
  <c r="AF97" i="12" s="1"/>
  <c r="AI97" i="12" s="1"/>
  <c r="AL97" i="12" s="1"/>
  <c r="AC118" i="12"/>
  <c r="AF118" i="12" s="1"/>
  <c r="AI118" i="12" s="1"/>
  <c r="AL118" i="12" s="1"/>
  <c r="AC125" i="12"/>
  <c r="AF125" i="12" s="1"/>
  <c r="AI125" i="12" s="1"/>
  <c r="AL125" i="12" s="1"/>
  <c r="AC83" i="12"/>
  <c r="AF83" i="12" s="1"/>
  <c r="AI83" i="12" s="1"/>
  <c r="AL83" i="12" s="1"/>
  <c r="AC111" i="12"/>
  <c r="AF111" i="12" s="1"/>
  <c r="AI111" i="12" s="1"/>
  <c r="AL111" i="12" s="1"/>
  <c r="AC134" i="12"/>
  <c r="AF134" i="12" s="1"/>
  <c r="AI134" i="12" s="1"/>
  <c r="AL134" i="12" s="1"/>
  <c r="AC105" i="12"/>
  <c r="AF105" i="12" s="1"/>
  <c r="AI105" i="12" s="1"/>
  <c r="AL105" i="12" s="1"/>
  <c r="AC88" i="12"/>
  <c r="AF88" i="12" s="1"/>
  <c r="AI88" i="12" s="1"/>
  <c r="AL88" i="12" s="1"/>
  <c r="AC68" i="12"/>
  <c r="AF68" i="12" s="1"/>
  <c r="AI68" i="12" s="1"/>
  <c r="AL68" i="12" s="1"/>
  <c r="AC117" i="12"/>
  <c r="AF117" i="12" s="1"/>
  <c r="AI117" i="12" s="1"/>
  <c r="AL117" i="12" s="1"/>
  <c r="AC78" i="12"/>
  <c r="AF78" i="12" s="1"/>
  <c r="AI78" i="12" s="1"/>
  <c r="AL78" i="12" s="1"/>
  <c r="AC153" i="12"/>
  <c r="AF153" i="12" s="1"/>
  <c r="AI153" i="12" s="1"/>
  <c r="AL153" i="12" s="1"/>
  <c r="AC69" i="12"/>
  <c r="AF69" i="12" s="1"/>
  <c r="AI69" i="12" s="1"/>
  <c r="AL69" i="12" s="1"/>
  <c r="AC144" i="12"/>
  <c r="AF144" i="12" s="1"/>
  <c r="AI144" i="12" s="1"/>
  <c r="AL144" i="12" s="1"/>
  <c r="AC124" i="12"/>
  <c r="AF124" i="12" s="1"/>
  <c r="AI124" i="12" s="1"/>
  <c r="AL124" i="12" s="1"/>
  <c r="AC135" i="12"/>
  <c r="AF135" i="12" s="1"/>
  <c r="AI135" i="12" s="1"/>
  <c r="AL135" i="12" s="1"/>
  <c r="AC104" i="12"/>
  <c r="AF104" i="12" s="1"/>
  <c r="AI104" i="12" s="1"/>
  <c r="AL104" i="12" s="1"/>
  <c r="AC136" i="12"/>
  <c r="AF136" i="12" s="1"/>
  <c r="AI136" i="12" s="1"/>
  <c r="AL136" i="12" s="1"/>
  <c r="AC147" i="12"/>
  <c r="AF147" i="12" s="1"/>
  <c r="AI147" i="12" s="1"/>
  <c r="AL147" i="12" s="1"/>
  <c r="AC93" i="12"/>
  <c r="AF93" i="12" s="1"/>
  <c r="AI93" i="12" s="1"/>
  <c r="AL93" i="12" s="1"/>
  <c r="AC123" i="12"/>
  <c r="AF123" i="12" s="1"/>
  <c r="AI123" i="12" s="1"/>
  <c r="AL123" i="12" s="1"/>
  <c r="AC76" i="12"/>
  <c r="AF76" i="12" s="1"/>
  <c r="AI76" i="12" s="1"/>
  <c r="AL76" i="12" s="1"/>
  <c r="AC151" i="12"/>
  <c r="AF151" i="12" s="1"/>
  <c r="AI151" i="12" s="1"/>
  <c r="AL151" i="12" s="1"/>
  <c r="AC110" i="12"/>
  <c r="AF110" i="12" s="1"/>
  <c r="AI110" i="12" s="1"/>
  <c r="AL110" i="12" s="1"/>
  <c r="AC149" i="12"/>
  <c r="AF149" i="12" s="1"/>
  <c r="AI149" i="12" s="1"/>
  <c r="AL149" i="12" s="1"/>
  <c r="AC120" i="12"/>
  <c r="AF120" i="12" s="1"/>
  <c r="AI120" i="12" s="1"/>
  <c r="AL120" i="12" s="1"/>
  <c r="AC114" i="12"/>
  <c r="AF114" i="12" s="1"/>
  <c r="AI114" i="12" s="1"/>
  <c r="AL114" i="12" s="1"/>
  <c r="AC137" i="12"/>
  <c r="AF137" i="12" s="1"/>
  <c r="AI137" i="12" s="1"/>
  <c r="AL137" i="12" s="1"/>
  <c r="AC73" i="12"/>
  <c r="AF73" i="12" s="1"/>
  <c r="AI73" i="12" s="1"/>
  <c r="AL73" i="12" s="1"/>
  <c r="AC128" i="12"/>
  <c r="AF128" i="12" s="1"/>
  <c r="AI128" i="12" s="1"/>
  <c r="AL128" i="12" s="1"/>
  <c r="AD103" i="12"/>
  <c r="AG103" i="12" s="1"/>
  <c r="AJ103" i="12" s="1"/>
  <c r="AM103" i="12" s="1"/>
  <c r="AD105" i="12"/>
  <c r="AG105" i="12" s="1"/>
  <c r="AJ105" i="12" s="1"/>
  <c r="AM105" i="12" s="1"/>
  <c r="AD99" i="12"/>
  <c r="AG99" i="12" s="1"/>
  <c r="AJ99" i="12" s="1"/>
  <c r="AM99" i="12" s="1"/>
  <c r="D21" i="3"/>
  <c r="D26" i="3" s="1"/>
  <c r="D73" i="2"/>
  <c r="D72" i="2"/>
  <c r="D74" i="2"/>
  <c r="D83" i="2"/>
  <c r="D82" i="2"/>
  <c r="D81" i="2"/>
  <c r="I72" i="2"/>
  <c r="I73" i="2"/>
  <c r="I74" i="2"/>
  <c r="I82" i="2"/>
  <c r="I83" i="2"/>
  <c r="I81" i="2"/>
  <c r="H90" i="2"/>
  <c r="X66" i="1" s="1"/>
  <c r="F32" i="10"/>
  <c r="F33" i="10"/>
  <c r="F34" i="10"/>
  <c r="E33" i="10"/>
  <c r="E34" i="10"/>
  <c r="E32" i="10"/>
  <c r="H92" i="2"/>
  <c r="H91" i="2"/>
  <c r="D34" i="10"/>
  <c r="D32" i="10"/>
  <c r="D33" i="10"/>
  <c r="C54" i="12" l="1"/>
  <c r="C52" i="12"/>
  <c r="C53" i="12"/>
  <c r="D52" i="12"/>
  <c r="D55" i="12" s="1"/>
  <c r="M145" i="2" s="1"/>
  <c r="Z68" i="1" s="1"/>
  <c r="D53" i="12"/>
  <c r="D56" i="12" s="1"/>
  <c r="D54" i="12"/>
  <c r="D57" i="12" s="1"/>
  <c r="M147" i="2" s="1"/>
  <c r="D47" i="12"/>
  <c r="H146" i="2" s="1"/>
  <c r="E47" i="12"/>
  <c r="H137" i="2" s="1"/>
  <c r="C47" i="12"/>
  <c r="H155" i="2" s="1"/>
  <c r="D46" i="12"/>
  <c r="H145" i="2" s="1"/>
  <c r="W68" i="1" s="1"/>
  <c r="E46" i="12"/>
  <c r="H136" i="2" s="1"/>
  <c r="V68" i="1" s="1"/>
  <c r="C46" i="12"/>
  <c r="H154" i="2" s="1"/>
  <c r="E52" i="12"/>
  <c r="E55" i="12" s="1"/>
  <c r="M136" i="2" s="1"/>
  <c r="Y68" i="1" s="1"/>
  <c r="E53" i="12"/>
  <c r="E56" i="12" s="1"/>
  <c r="M137" i="2" s="1"/>
  <c r="E54" i="12"/>
  <c r="E57" i="12" s="1"/>
  <c r="M138" i="2" s="1"/>
  <c r="D48" i="12"/>
  <c r="H147" i="2" s="1"/>
  <c r="E48" i="12"/>
  <c r="H138" i="2" s="1"/>
  <c r="C106" i="2"/>
  <c r="H115" i="2"/>
  <c r="H104" i="2"/>
  <c r="C113" i="2"/>
  <c r="T67" i="1" s="1"/>
  <c r="H114" i="2"/>
  <c r="C115" i="2"/>
  <c r="C105" i="2"/>
  <c r="H106" i="2"/>
  <c r="H124" i="2"/>
  <c r="C104" i="2"/>
  <c r="S67" i="1" s="1"/>
  <c r="H113" i="2"/>
  <c r="H105" i="2"/>
  <c r="C114" i="2"/>
  <c r="D24" i="3"/>
  <c r="D25" i="3"/>
  <c r="C147" i="2"/>
  <c r="C146" i="2"/>
  <c r="D138" i="2"/>
  <c r="D137" i="2"/>
  <c r="D136" i="2"/>
  <c r="C145" i="2"/>
  <c r="T68" i="1" s="1"/>
  <c r="I90" i="2"/>
  <c r="I92" i="2"/>
  <c r="I91" i="2"/>
  <c r="H15" i="1" l="1"/>
  <c r="H16" i="1" s="1"/>
  <c r="H17" i="1" s="1"/>
  <c r="I17" i="1" s="1"/>
  <c r="V67" i="1"/>
  <c r="V69" i="1" s="1"/>
  <c r="H6" i="1"/>
  <c r="X68" i="1"/>
  <c r="I113" i="2"/>
  <c r="W67" i="1"/>
  <c r="W69" i="1" s="1"/>
  <c r="I136" i="2"/>
  <c r="I138" i="2"/>
  <c r="I137" i="2"/>
  <c r="I145" i="2"/>
  <c r="I146" i="2"/>
  <c r="I147" i="2"/>
  <c r="I154" i="2"/>
  <c r="I155" i="2"/>
  <c r="I156" i="2"/>
  <c r="I114" i="2"/>
  <c r="D115" i="2"/>
  <c r="D114" i="2"/>
  <c r="D113" i="2"/>
  <c r="I106" i="2"/>
  <c r="I105" i="2"/>
  <c r="I104" i="2"/>
  <c r="D104" i="2"/>
  <c r="D106" i="2"/>
  <c r="D105" i="2"/>
  <c r="I115" i="2"/>
  <c r="H122" i="2"/>
  <c r="X67" i="1" s="1"/>
  <c r="C122" i="2"/>
  <c r="U67" i="1" s="1"/>
  <c r="H123" i="2"/>
  <c r="C123" i="2"/>
  <c r="C124" i="2"/>
  <c r="N136" i="2"/>
  <c r="D27" i="3"/>
  <c r="N138" i="2"/>
  <c r="M146" i="2"/>
  <c r="N137" i="2"/>
  <c r="N147" i="2"/>
  <c r="N145" i="2"/>
  <c r="D145" i="2"/>
  <c r="D147" i="2"/>
  <c r="D146" i="2"/>
  <c r="X69" i="1" l="1"/>
  <c r="I16" i="1"/>
  <c r="I15" i="1"/>
  <c r="H24" i="1"/>
  <c r="H25" i="1" s="1"/>
  <c r="H7" i="1"/>
  <c r="H8" i="1" s="1"/>
  <c r="I8" i="1" s="1"/>
  <c r="I6" i="1"/>
  <c r="D123" i="2"/>
  <c r="D122" i="2"/>
  <c r="D124" i="2"/>
  <c r="I124" i="2"/>
  <c r="I123" i="2"/>
  <c r="I122" i="2"/>
  <c r="N146" i="2"/>
  <c r="I24" i="1" l="1"/>
  <c r="I25" i="1"/>
  <c r="H41" i="1"/>
  <c r="I41" i="1" s="1"/>
  <c r="I7" i="1"/>
  <c r="H26" i="1"/>
  <c r="H42" i="1"/>
  <c r="H35" i="1" s="1"/>
  <c r="B38" i="3"/>
  <c r="B39" i="3" s="1"/>
  <c r="H34" i="1" l="1"/>
  <c r="I34" i="1" s="1"/>
  <c r="I42" i="1"/>
  <c r="H43" i="1"/>
  <c r="I26" i="1"/>
  <c r="C19" i="4"/>
  <c r="C24" i="4" s="1"/>
  <c r="C20" i="4"/>
  <c r="I35" i="1" l="1"/>
  <c r="H36" i="1"/>
  <c r="I36" i="1" s="1"/>
  <c r="I43" i="1"/>
  <c r="C25" i="4"/>
  <c r="C29" i="4"/>
  <c r="C34" i="4" s="1"/>
  <c r="C28" i="4"/>
  <c r="D28" i="4" s="1"/>
  <c r="C30" i="4"/>
  <c r="C23" i="4"/>
  <c r="D23" i="4" s="1"/>
  <c r="D24" i="4" l="1"/>
  <c r="C35" i="4"/>
  <c r="C10" i="2" s="1"/>
  <c r="D25" i="4"/>
  <c r="D30" i="4"/>
  <c r="D29" i="4"/>
  <c r="C33" i="4"/>
  <c r="C18" i="2"/>
  <c r="C27" i="2"/>
  <c r="C9" i="2"/>
  <c r="D35" i="4" l="1"/>
  <c r="C8" i="2"/>
  <c r="C6" i="1" s="1"/>
  <c r="C19" i="2"/>
  <c r="C28" i="2"/>
  <c r="D34" i="4"/>
  <c r="C17" i="2"/>
  <c r="C15" i="1" s="1"/>
  <c r="D33" i="4"/>
  <c r="C26" i="2"/>
  <c r="U64" i="1" l="1"/>
  <c r="C16" i="1"/>
  <c r="C17" i="1" s="1"/>
  <c r="D17" i="1" s="1"/>
  <c r="D15" i="1"/>
  <c r="C7" i="1"/>
  <c r="D6" i="1"/>
  <c r="D18" i="2"/>
  <c r="T64" i="1"/>
  <c r="T69" i="1" s="1"/>
  <c r="S64" i="1"/>
  <c r="S69" i="1" s="1"/>
  <c r="D8" i="2"/>
  <c r="D9" i="2"/>
  <c r="D10" i="2"/>
  <c r="D17" i="2"/>
  <c r="D19" i="2"/>
  <c r="D26" i="2"/>
  <c r="D27" i="2"/>
  <c r="D28" i="2"/>
  <c r="C8" i="1" l="1"/>
  <c r="D7" i="1"/>
  <c r="D16" i="1"/>
  <c r="E189" i="6"/>
  <c r="E162" i="6"/>
  <c r="E130" i="6"/>
  <c r="E129" i="6"/>
  <c r="E133" i="6"/>
  <c r="E190" i="6"/>
  <c r="H188" i="6"/>
  <c r="H140" i="6"/>
  <c r="H179" i="6"/>
  <c r="H174" i="6"/>
  <c r="E154" i="6"/>
  <c r="E114" i="6"/>
  <c r="E171" i="6"/>
  <c r="E143" i="6"/>
  <c r="H172" i="6"/>
  <c r="H102" i="6"/>
  <c r="H161" i="6"/>
  <c r="H169" i="6"/>
  <c r="H119" i="6"/>
  <c r="E182" i="6"/>
  <c r="E142" i="6"/>
  <c r="E100" i="6"/>
  <c r="E175" i="6"/>
  <c r="H132" i="6"/>
  <c r="H167" i="6"/>
  <c r="H171" i="6"/>
  <c r="E180" i="6"/>
  <c r="E148" i="6"/>
  <c r="E168" i="6"/>
  <c r="E136" i="6"/>
  <c r="E153" i="6"/>
  <c r="E165" i="6"/>
  <c r="E115" i="6"/>
  <c r="E109" i="6"/>
  <c r="H149" i="6"/>
  <c r="H100" i="6"/>
  <c r="H111" i="6"/>
  <c r="H101" i="6"/>
  <c r="H177" i="6"/>
  <c r="E166" i="6"/>
  <c r="E125" i="6"/>
  <c r="H189" i="6"/>
  <c r="H147" i="6"/>
  <c r="H150" i="6"/>
  <c r="E140" i="6"/>
  <c r="E123" i="6"/>
  <c r="H136" i="6"/>
  <c r="H170" i="6"/>
  <c r="E155" i="6"/>
  <c r="H123" i="6"/>
  <c r="E137" i="6"/>
  <c r="H191" i="6"/>
  <c r="H99" i="6"/>
  <c r="H183" i="6"/>
  <c r="H152" i="6"/>
  <c r="E178" i="6"/>
  <c r="E138" i="6"/>
  <c r="E151" i="6"/>
  <c r="E173" i="6"/>
  <c r="E117" i="6"/>
  <c r="E184" i="6"/>
  <c r="E161" i="6"/>
  <c r="E110" i="6"/>
  <c r="H110" i="6"/>
  <c r="H135" i="6"/>
  <c r="H118" i="6"/>
  <c r="E185" i="6"/>
  <c r="E126" i="6"/>
  <c r="E147" i="6"/>
  <c r="H164" i="6"/>
  <c r="H129" i="6"/>
  <c r="E191" i="6"/>
  <c r="E156" i="6"/>
  <c r="E160" i="6"/>
  <c r="E120" i="6"/>
  <c r="E107" i="6"/>
  <c r="E149" i="6"/>
  <c r="H181" i="6"/>
  <c r="H108" i="6"/>
  <c r="H168" i="6"/>
  <c r="H163" i="6"/>
  <c r="H145" i="6"/>
  <c r="E170" i="6"/>
  <c r="E108" i="6"/>
  <c r="H186" i="6"/>
  <c r="H154" i="6"/>
  <c r="H109" i="6"/>
  <c r="H120" i="6"/>
  <c r="E174" i="6"/>
  <c r="E177" i="6"/>
  <c r="E112" i="6"/>
  <c r="H106" i="6"/>
  <c r="H175" i="6"/>
  <c r="E183" i="6"/>
  <c r="E187" i="6"/>
  <c r="E152" i="6"/>
  <c r="E188" i="6"/>
  <c r="E127" i="6"/>
  <c r="E104" i="6"/>
  <c r="H165" i="6"/>
  <c r="H166" i="6"/>
  <c r="H155" i="6"/>
  <c r="H138" i="6"/>
  <c r="E134" i="6"/>
  <c r="E101" i="6"/>
  <c r="H98" i="6"/>
  <c r="H158" i="6"/>
  <c r="E119" i="6"/>
  <c r="H134" i="6"/>
  <c r="E169" i="6"/>
  <c r="H104" i="6"/>
  <c r="E132" i="6"/>
  <c r="H184" i="6"/>
  <c r="E106" i="6"/>
  <c r="H162" i="6"/>
  <c r="E146" i="6"/>
  <c r="E105" i="6"/>
  <c r="H156" i="6"/>
  <c r="H128" i="6"/>
  <c r="H182" i="6"/>
  <c r="E122" i="6"/>
  <c r="H143" i="6"/>
  <c r="E150" i="6"/>
  <c r="H180" i="6"/>
  <c r="H113" i="6"/>
  <c r="E176" i="6"/>
  <c r="E131" i="6"/>
  <c r="H187" i="6"/>
  <c r="H127" i="6"/>
  <c r="H146" i="6"/>
  <c r="E192" i="6"/>
  <c r="H142" i="6"/>
  <c r="E116" i="6"/>
  <c r="H144" i="6"/>
  <c r="E141" i="6"/>
  <c r="H105" i="6"/>
  <c r="H190" i="6"/>
  <c r="H125" i="6"/>
  <c r="H114" i="6"/>
  <c r="H126" i="6"/>
  <c r="E99" i="6"/>
  <c r="H141" i="6"/>
  <c r="E135" i="6"/>
  <c r="H151" i="6"/>
  <c r="E163" i="6"/>
  <c r="H160" i="6"/>
  <c r="E172" i="6"/>
  <c r="E144" i="6"/>
  <c r="E98" i="6"/>
  <c r="H133" i="6"/>
  <c r="H130" i="6"/>
  <c r="E118" i="6"/>
  <c r="H148" i="6"/>
  <c r="H192" i="6"/>
  <c r="E179" i="6"/>
  <c r="H185" i="6"/>
  <c r="H157" i="6"/>
  <c r="E139" i="6"/>
  <c r="H139" i="6"/>
  <c r="H159" i="6"/>
  <c r="H124" i="6"/>
  <c r="H178" i="6"/>
  <c r="E113" i="6"/>
  <c r="H122" i="6"/>
  <c r="E164" i="6"/>
  <c r="E128" i="6"/>
  <c r="E167" i="6"/>
  <c r="H117" i="6"/>
  <c r="H176" i="6"/>
  <c r="E145" i="6"/>
  <c r="H116" i="6"/>
  <c r="H107" i="6"/>
  <c r="H173" i="6"/>
  <c r="E124" i="6"/>
  <c r="H121" i="6"/>
  <c r="E111" i="6"/>
  <c r="E157" i="6"/>
  <c r="H115" i="6"/>
  <c r="E158" i="6"/>
  <c r="E103" i="6"/>
  <c r="H137" i="6"/>
  <c r="E186" i="6"/>
  <c r="E121" i="6"/>
  <c r="E102" i="6"/>
  <c r="H153" i="6"/>
  <c r="E159" i="6"/>
  <c r="H103" i="6"/>
  <c r="H112" i="6"/>
  <c r="H131" i="6"/>
  <c r="E181" i="6"/>
  <c r="D140" i="12"/>
  <c r="G140" i="12" s="1"/>
  <c r="J140" i="12" s="1"/>
  <c r="M140" i="12" s="1"/>
  <c r="D118" i="12"/>
  <c r="G118" i="12" s="1"/>
  <c r="J118" i="12" s="1"/>
  <c r="M118" i="12" s="1"/>
  <c r="D114" i="12"/>
  <c r="G114" i="12" s="1"/>
  <c r="J114" i="12" s="1"/>
  <c r="M114" i="12" s="1"/>
  <c r="D107" i="12"/>
  <c r="G107" i="12" s="1"/>
  <c r="J107" i="12" s="1"/>
  <c r="M107" i="12" s="1"/>
  <c r="D104" i="12"/>
  <c r="G104" i="12" s="1"/>
  <c r="J104" i="12" s="1"/>
  <c r="M104" i="12" s="1"/>
  <c r="D98" i="12"/>
  <c r="G98" i="12" s="1"/>
  <c r="J98" i="12" s="1"/>
  <c r="M98" i="12" s="1"/>
  <c r="D92" i="12"/>
  <c r="G92" i="12" s="1"/>
  <c r="J92" i="12" s="1"/>
  <c r="M92" i="12" s="1"/>
  <c r="D88" i="12"/>
  <c r="G88" i="12" s="1"/>
  <c r="J88" i="12" s="1"/>
  <c r="M88" i="12" s="1"/>
  <c r="D86" i="12"/>
  <c r="G86" i="12" s="1"/>
  <c r="J86" i="12" s="1"/>
  <c r="M86" i="12" s="1"/>
  <c r="D80" i="12"/>
  <c r="G80" i="12" s="1"/>
  <c r="J80" i="12" s="1"/>
  <c r="M80" i="12" s="1"/>
  <c r="D77" i="12"/>
  <c r="G77" i="12" s="1"/>
  <c r="J77" i="12" s="1"/>
  <c r="M77" i="12" s="1"/>
  <c r="D73" i="12"/>
  <c r="G73" i="12" s="1"/>
  <c r="J73" i="12" s="1"/>
  <c r="M73" i="12" s="1"/>
  <c r="D155" i="12"/>
  <c r="G155" i="12" s="1"/>
  <c r="J155" i="12" s="1"/>
  <c r="M155" i="12" s="1"/>
  <c r="D152" i="12"/>
  <c r="G152" i="12" s="1"/>
  <c r="J152" i="12" s="1"/>
  <c r="M152" i="12" s="1"/>
  <c r="D150" i="12"/>
  <c r="G150" i="12" s="1"/>
  <c r="J150" i="12" s="1"/>
  <c r="M150" i="12" s="1"/>
  <c r="D148" i="12"/>
  <c r="G148" i="12" s="1"/>
  <c r="J148" i="12" s="1"/>
  <c r="M148" i="12" s="1"/>
  <c r="D146" i="12"/>
  <c r="G146" i="12" s="1"/>
  <c r="J146" i="12" s="1"/>
  <c r="M146" i="12" s="1"/>
  <c r="D144" i="12"/>
  <c r="G144" i="12" s="1"/>
  <c r="J144" i="12" s="1"/>
  <c r="M144" i="12" s="1"/>
  <c r="D141" i="12"/>
  <c r="G141" i="12" s="1"/>
  <c r="J141" i="12" s="1"/>
  <c r="M141" i="12" s="1"/>
  <c r="D138" i="12"/>
  <c r="G138" i="12" s="1"/>
  <c r="J138" i="12" s="1"/>
  <c r="M138" i="12" s="1"/>
  <c r="D135" i="12"/>
  <c r="G135" i="12" s="1"/>
  <c r="J135" i="12" s="1"/>
  <c r="M135" i="12" s="1"/>
  <c r="D132" i="12"/>
  <c r="G132" i="12" s="1"/>
  <c r="J132" i="12" s="1"/>
  <c r="M132" i="12" s="1"/>
  <c r="D130" i="12"/>
  <c r="G130" i="12" s="1"/>
  <c r="J130" i="12" s="1"/>
  <c r="M130" i="12" s="1"/>
  <c r="D128" i="12"/>
  <c r="G128" i="12" s="1"/>
  <c r="J128" i="12" s="1"/>
  <c r="M128" i="12" s="1"/>
  <c r="D126" i="12"/>
  <c r="G126" i="12" s="1"/>
  <c r="J126" i="12" s="1"/>
  <c r="M126" i="12" s="1"/>
  <c r="D123" i="12"/>
  <c r="G123" i="12" s="1"/>
  <c r="J123" i="12" s="1"/>
  <c r="M123" i="12" s="1"/>
  <c r="D120" i="12"/>
  <c r="G120" i="12" s="1"/>
  <c r="J120" i="12" s="1"/>
  <c r="M120" i="12" s="1"/>
  <c r="D117" i="12"/>
  <c r="G117" i="12" s="1"/>
  <c r="J117" i="12" s="1"/>
  <c r="M117" i="12" s="1"/>
  <c r="D113" i="12"/>
  <c r="G113" i="12" s="1"/>
  <c r="J113" i="12" s="1"/>
  <c r="M113" i="12" s="1"/>
  <c r="D109" i="12"/>
  <c r="G109" i="12" s="1"/>
  <c r="J109" i="12" s="1"/>
  <c r="M109" i="12" s="1"/>
  <c r="D100" i="12"/>
  <c r="G100" i="12" s="1"/>
  <c r="J100" i="12" s="1"/>
  <c r="M100" i="12" s="1"/>
  <c r="D97" i="12"/>
  <c r="G97" i="12" s="1"/>
  <c r="J97" i="12" s="1"/>
  <c r="M97" i="12" s="1"/>
  <c r="D90" i="12"/>
  <c r="G90" i="12" s="1"/>
  <c r="J90" i="12" s="1"/>
  <c r="M90" i="12" s="1"/>
  <c r="D83" i="12"/>
  <c r="G83" i="12" s="1"/>
  <c r="J83" i="12" s="1"/>
  <c r="M83" i="12" s="1"/>
  <c r="D76" i="12"/>
  <c r="G76" i="12" s="1"/>
  <c r="J76" i="12" s="1"/>
  <c r="M76" i="12" s="1"/>
  <c r="D72" i="12"/>
  <c r="G72" i="12" s="1"/>
  <c r="J72" i="12" s="1"/>
  <c r="M72" i="12" s="1"/>
  <c r="D69" i="12"/>
  <c r="G69" i="12" s="1"/>
  <c r="J69" i="12" s="1"/>
  <c r="M69" i="12" s="1"/>
  <c r="D65" i="12"/>
  <c r="G65" i="12" s="1"/>
  <c r="J65" i="12" s="1"/>
  <c r="M65" i="12" s="1"/>
  <c r="D124" i="12"/>
  <c r="G124" i="12" s="1"/>
  <c r="J124" i="12" s="1"/>
  <c r="M124" i="12" s="1"/>
  <c r="D96" i="12"/>
  <c r="G96" i="12" s="1"/>
  <c r="J96" i="12" s="1"/>
  <c r="M96" i="12" s="1"/>
  <c r="D84" i="12"/>
  <c r="G84" i="12" s="1"/>
  <c r="J84" i="12" s="1"/>
  <c r="M84" i="12" s="1"/>
  <c r="D151" i="12"/>
  <c r="G151" i="12" s="1"/>
  <c r="J151" i="12" s="1"/>
  <c r="M151" i="12" s="1"/>
  <c r="D145" i="12"/>
  <c r="G145" i="12" s="1"/>
  <c r="J145" i="12" s="1"/>
  <c r="M145" i="12" s="1"/>
  <c r="D131" i="12"/>
  <c r="G131" i="12" s="1"/>
  <c r="J131" i="12" s="1"/>
  <c r="M131" i="12" s="1"/>
  <c r="D125" i="12"/>
  <c r="G125" i="12" s="1"/>
  <c r="J125" i="12" s="1"/>
  <c r="M125" i="12" s="1"/>
  <c r="D102" i="12"/>
  <c r="G102" i="12" s="1"/>
  <c r="J102" i="12" s="1"/>
  <c r="M102" i="12" s="1"/>
  <c r="D106" i="12"/>
  <c r="G106" i="12" s="1"/>
  <c r="J106" i="12" s="1"/>
  <c r="M106" i="12" s="1"/>
  <c r="D91" i="12"/>
  <c r="G91" i="12" s="1"/>
  <c r="J91" i="12" s="1"/>
  <c r="M91" i="12" s="1"/>
  <c r="D157" i="12"/>
  <c r="G157" i="12" s="1"/>
  <c r="J157" i="12" s="1"/>
  <c r="M157" i="12" s="1"/>
  <c r="D149" i="12"/>
  <c r="G149" i="12" s="1"/>
  <c r="J149" i="12" s="1"/>
  <c r="M149" i="12" s="1"/>
  <c r="D136" i="12"/>
  <c r="G136" i="12" s="1"/>
  <c r="J136" i="12" s="1"/>
  <c r="M136" i="12" s="1"/>
  <c r="D129" i="12"/>
  <c r="G129" i="12" s="1"/>
  <c r="J129" i="12" s="1"/>
  <c r="M129" i="12" s="1"/>
  <c r="D115" i="12"/>
  <c r="G115" i="12" s="1"/>
  <c r="J115" i="12" s="1"/>
  <c r="M115" i="12" s="1"/>
  <c r="D99" i="12"/>
  <c r="G99" i="12" s="1"/>
  <c r="J99" i="12" s="1"/>
  <c r="M99" i="12" s="1"/>
  <c r="D78" i="12"/>
  <c r="G78" i="12" s="1"/>
  <c r="J78" i="12" s="1"/>
  <c r="M78" i="12" s="1"/>
  <c r="D116" i="12"/>
  <c r="G116" i="12" s="1"/>
  <c r="J116" i="12" s="1"/>
  <c r="M116" i="12" s="1"/>
  <c r="D101" i="12"/>
  <c r="G101" i="12" s="1"/>
  <c r="J101" i="12" s="1"/>
  <c r="M101" i="12" s="1"/>
  <c r="D79" i="12"/>
  <c r="G79" i="12" s="1"/>
  <c r="J79" i="12" s="1"/>
  <c r="M79" i="12" s="1"/>
  <c r="D153" i="12"/>
  <c r="G153" i="12" s="1"/>
  <c r="J153" i="12" s="1"/>
  <c r="M153" i="12" s="1"/>
  <c r="D143" i="12"/>
  <c r="G143" i="12" s="1"/>
  <c r="J143" i="12" s="1"/>
  <c r="M143" i="12" s="1"/>
  <c r="D134" i="12"/>
  <c r="G134" i="12" s="1"/>
  <c r="J134" i="12" s="1"/>
  <c r="M134" i="12" s="1"/>
  <c r="D121" i="12"/>
  <c r="G121" i="12" s="1"/>
  <c r="J121" i="12" s="1"/>
  <c r="M121" i="12" s="1"/>
  <c r="D111" i="12"/>
  <c r="G111" i="12" s="1"/>
  <c r="J111" i="12" s="1"/>
  <c r="M111" i="12" s="1"/>
  <c r="D85" i="12"/>
  <c r="G85" i="12" s="1"/>
  <c r="J85" i="12" s="1"/>
  <c r="M85" i="12" s="1"/>
  <c r="D68" i="12"/>
  <c r="G68" i="12" s="1"/>
  <c r="J68" i="12" s="1"/>
  <c r="M68" i="12" s="1"/>
  <c r="D112" i="12"/>
  <c r="G112" i="12" s="1"/>
  <c r="J112" i="12" s="1"/>
  <c r="M112" i="12" s="1"/>
  <c r="D127" i="12"/>
  <c r="G127" i="12" s="1"/>
  <c r="J127" i="12" s="1"/>
  <c r="M127" i="12" s="1"/>
  <c r="D147" i="12"/>
  <c r="G147" i="12" s="1"/>
  <c r="J147" i="12" s="1"/>
  <c r="M147" i="12" s="1"/>
  <c r="D119" i="12"/>
  <c r="G119" i="12" s="1"/>
  <c r="J119" i="12" s="1"/>
  <c r="M119" i="12" s="1"/>
  <c r="D74" i="12"/>
  <c r="G74" i="12" s="1"/>
  <c r="J74" i="12" s="1"/>
  <c r="M74" i="12" s="1"/>
  <c r="H97" i="6"/>
  <c r="D64" i="12"/>
  <c r="G64" i="12" s="1"/>
  <c r="J64" i="12" s="1"/>
  <c r="M64" i="12" s="1"/>
  <c r="D87" i="12"/>
  <c r="G87" i="12" s="1"/>
  <c r="J87" i="12" s="1"/>
  <c r="M87" i="12" s="1"/>
  <c r="D139" i="12"/>
  <c r="G139" i="12" s="1"/>
  <c r="J139" i="12" s="1"/>
  <c r="M139" i="12" s="1"/>
  <c r="D70" i="12"/>
  <c r="G70" i="12" s="1"/>
  <c r="J70" i="12" s="1"/>
  <c r="M70" i="12" s="1"/>
  <c r="B7" i="3"/>
  <c r="B287" i="3" s="1"/>
  <c r="E97" i="6"/>
  <c r="D75" i="12"/>
  <c r="G75" i="12" s="1"/>
  <c r="J75" i="12" s="1"/>
  <c r="M75" i="12" s="1"/>
  <c r="D93" i="12"/>
  <c r="G93" i="12" s="1"/>
  <c r="J93" i="12" s="1"/>
  <c r="M93" i="12" s="1"/>
  <c r="D8" i="1" l="1"/>
  <c r="D7" i="3"/>
  <c r="D287" i="3" s="1"/>
  <c r="C56" i="12" s="1"/>
  <c r="M155" i="2" s="1"/>
  <c r="D58" i="6"/>
  <c r="D66" i="6" s="1"/>
  <c r="B27" i="3"/>
  <c r="D57" i="6"/>
  <c r="D65" i="6" s="1"/>
  <c r="C55" i="12"/>
  <c r="M154" i="2" s="1"/>
  <c r="C35" i="12"/>
  <c r="C38" i="12" s="1"/>
  <c r="C36" i="12"/>
  <c r="C39" i="12" s="1"/>
  <c r="C34" i="12"/>
  <c r="C37" i="12" s="1"/>
  <c r="AA68" i="1" l="1"/>
  <c r="C57" i="12"/>
  <c r="M156" i="2" s="1"/>
  <c r="D68" i="6"/>
  <c r="D71" i="6" s="1"/>
  <c r="D69" i="6"/>
  <c r="D72" i="6" s="1"/>
  <c r="C92" i="2" s="1"/>
  <c r="C155" i="2"/>
  <c r="C154" i="2"/>
  <c r="U68" i="1" s="1"/>
  <c r="D67" i="6"/>
  <c r="D70" i="6" s="1"/>
  <c r="C156" i="2"/>
  <c r="N155" i="2"/>
  <c r="N154" i="2"/>
  <c r="N156" i="2" l="1"/>
  <c r="C91" i="2"/>
  <c r="C90" i="2"/>
  <c r="D155" i="2"/>
  <c r="D156" i="2"/>
  <c r="D154" i="2"/>
  <c r="U66" i="1" l="1"/>
  <c r="U69" i="1" s="1"/>
  <c r="C24" i="1"/>
  <c r="D91" i="2"/>
  <c r="D92" i="2"/>
  <c r="D90" i="2"/>
  <c r="C25" i="1" l="1"/>
  <c r="D25" i="1" s="1"/>
  <c r="D24" i="1"/>
  <c r="C41" i="1"/>
  <c r="D41" i="1" l="1"/>
  <c r="C34" i="1"/>
  <c r="C26" i="1"/>
  <c r="C42" i="1"/>
  <c r="C35" i="1" l="1"/>
  <c r="D35" i="1" s="1"/>
  <c r="D42" i="1"/>
  <c r="C43" i="1"/>
  <c r="D26" i="1"/>
  <c r="D34" i="1"/>
  <c r="C36" i="1" l="1"/>
  <c r="D36" i="1" s="1"/>
  <c r="D43" i="1"/>
  <c r="R142" i="10" l="1"/>
  <c r="R126" i="10"/>
  <c r="R110" i="10"/>
  <c r="R94" i="10"/>
  <c r="R78" i="10"/>
  <c r="R62" i="10"/>
  <c r="S135" i="10"/>
  <c r="S73" i="10"/>
  <c r="S108" i="10"/>
  <c r="S137" i="10"/>
  <c r="S71" i="10"/>
  <c r="S102" i="10"/>
  <c r="T142" i="10"/>
  <c r="T126" i="10"/>
  <c r="T88" i="10"/>
  <c r="T91" i="10"/>
  <c r="T94" i="10"/>
  <c r="T101" i="10"/>
  <c r="R140" i="10"/>
  <c r="R92" i="10"/>
  <c r="S113" i="10"/>
  <c r="S111" i="10"/>
  <c r="R129" i="10"/>
  <c r="R113" i="10"/>
  <c r="R97" i="10"/>
  <c r="R81" i="10"/>
  <c r="R65" i="10"/>
  <c r="R49" i="10"/>
  <c r="S85" i="10"/>
  <c r="S120" i="10"/>
  <c r="S56" i="10"/>
  <c r="S83" i="10"/>
  <c r="S114" i="10"/>
  <c r="S50" i="10"/>
  <c r="T129" i="10"/>
  <c r="T100" i="10"/>
  <c r="T103" i="10"/>
  <c r="T106" i="10"/>
  <c r="T113" i="10"/>
  <c r="T49" i="10"/>
  <c r="R108" i="10"/>
  <c r="R60" i="10"/>
  <c r="S100" i="10"/>
  <c r="R135" i="10"/>
  <c r="R119" i="10"/>
  <c r="R103" i="10"/>
  <c r="R87" i="10"/>
  <c r="R71" i="10"/>
  <c r="R55" i="10"/>
  <c r="S109" i="10"/>
  <c r="S144" i="10"/>
  <c r="S80" i="10"/>
  <c r="S107" i="10"/>
  <c r="S138" i="10"/>
  <c r="S74" i="10"/>
  <c r="T135" i="10"/>
  <c r="T119" i="10"/>
  <c r="T60" i="10"/>
  <c r="T63" i="10"/>
  <c r="T66" i="10"/>
  <c r="T73" i="10"/>
  <c r="R112" i="10"/>
  <c r="R64" i="10"/>
  <c r="S49" i="10"/>
  <c r="S94" i="10"/>
  <c r="T83" i="10"/>
  <c r="T112" i="10"/>
  <c r="T136" i="10"/>
  <c r="T70" i="10"/>
  <c r="T54" i="10"/>
  <c r="T128" i="10"/>
  <c r="T109" i="10"/>
  <c r="T51" i="10"/>
  <c r="R138" i="10"/>
  <c r="R122" i="10"/>
  <c r="R106" i="10"/>
  <c r="R90" i="10"/>
  <c r="R74" i="10"/>
  <c r="R58" i="10"/>
  <c r="S119" i="10"/>
  <c r="S57" i="10"/>
  <c r="S92" i="10"/>
  <c r="S121" i="10"/>
  <c r="S55" i="10"/>
  <c r="S86" i="10"/>
  <c r="T138" i="10"/>
  <c r="T122" i="10"/>
  <c r="T72" i="10"/>
  <c r="T75" i="10"/>
  <c r="T78" i="10"/>
  <c r="T85" i="10"/>
  <c r="R128" i="10"/>
  <c r="R80" i="10"/>
  <c r="S81" i="10"/>
  <c r="R141" i="10"/>
  <c r="R125" i="10"/>
  <c r="R109" i="10"/>
  <c r="R93" i="10"/>
  <c r="R77" i="10"/>
  <c r="R61" i="10"/>
  <c r="S131" i="10"/>
  <c r="S69" i="10"/>
  <c r="S104" i="10"/>
  <c r="S133" i="10"/>
  <c r="S67" i="10"/>
  <c r="S98" i="10"/>
  <c r="T141" i="10"/>
  <c r="T125" i="10"/>
  <c r="T84" i="10"/>
  <c r="T87" i="10"/>
  <c r="T90" i="10"/>
  <c r="T97" i="10"/>
  <c r="R136" i="10"/>
  <c r="R96" i="10"/>
  <c r="S127" i="10"/>
  <c r="S52" i="10"/>
  <c r="R131" i="10"/>
  <c r="R115" i="10"/>
  <c r="R99" i="10"/>
  <c r="R83" i="10"/>
  <c r="R67" i="10"/>
  <c r="R51" i="10"/>
  <c r="S93" i="10"/>
  <c r="S128" i="10"/>
  <c r="S64" i="10"/>
  <c r="S91" i="10"/>
  <c r="S122" i="10"/>
  <c r="S58" i="10"/>
  <c r="T131" i="10"/>
  <c r="T108" i="10"/>
  <c r="T111" i="10"/>
  <c r="T114" i="10"/>
  <c r="T50" i="10"/>
  <c r="T57" i="10"/>
  <c r="R104" i="10"/>
  <c r="R52" i="10"/>
  <c r="S68" i="10"/>
  <c r="T140" i="10"/>
  <c r="T86" i="10"/>
  <c r="T61" i="10"/>
  <c r="T120" i="10"/>
  <c r="T77" i="10"/>
  <c r="S79" i="10"/>
  <c r="T96" i="10"/>
  <c r="R130" i="10"/>
  <c r="R114" i="10"/>
  <c r="R98" i="10"/>
  <c r="R82" i="10"/>
  <c r="R66" i="10"/>
  <c r="R50" i="10"/>
  <c r="S89" i="10"/>
  <c r="S124" i="10"/>
  <c r="S60" i="10"/>
  <c r="S87" i="10"/>
  <c r="S118" i="10"/>
  <c r="S54" i="10"/>
  <c r="T130" i="10"/>
  <c r="T104" i="10"/>
  <c r="T107" i="10"/>
  <c r="T110" i="10"/>
  <c r="T117" i="10"/>
  <c r="T53" i="10"/>
  <c r="R100" i="10"/>
  <c r="R56" i="10"/>
  <c r="S84" i="10"/>
  <c r="R133" i="10"/>
  <c r="R117" i="10"/>
  <c r="R101" i="10"/>
  <c r="R85" i="10"/>
  <c r="R69" i="10"/>
  <c r="R53" i="10"/>
  <c r="S101" i="10"/>
  <c r="S136" i="10"/>
  <c r="S72" i="10"/>
  <c r="S99" i="10"/>
  <c r="S130" i="10"/>
  <c r="S66" i="10"/>
  <c r="T133" i="10"/>
  <c r="T116" i="10"/>
  <c r="T52" i="10"/>
  <c r="T55" i="10"/>
  <c r="T58" i="10"/>
  <c r="T65" i="10"/>
  <c r="R116" i="10"/>
  <c r="R72" i="10"/>
  <c r="S116" i="10"/>
  <c r="R139" i="10"/>
  <c r="R123" i="10"/>
  <c r="R107" i="10"/>
  <c r="R91" i="10"/>
  <c r="R75" i="10"/>
  <c r="R59" i="10"/>
  <c r="S123" i="10"/>
  <c r="S61" i="10"/>
  <c r="S96" i="10"/>
  <c r="S125" i="10"/>
  <c r="S59" i="10"/>
  <c r="S90" i="10"/>
  <c r="T139" i="10"/>
  <c r="T123" i="10"/>
  <c r="T76" i="10"/>
  <c r="T79" i="10"/>
  <c r="T82" i="10"/>
  <c r="T89" i="10"/>
  <c r="R132" i="10"/>
  <c r="R76" i="10"/>
  <c r="S97" i="10"/>
  <c r="S63" i="10"/>
  <c r="T80" i="10"/>
  <c r="S62" i="10"/>
  <c r="S78" i="10"/>
  <c r="T67" i="10"/>
  <c r="T115" i="10"/>
  <c r="T144" i="10"/>
  <c r="T102" i="10"/>
  <c r="R134" i="10"/>
  <c r="R70" i="10"/>
  <c r="S76" i="10"/>
  <c r="T134" i="10"/>
  <c r="T62" i="10"/>
  <c r="S132" i="10"/>
  <c r="R89" i="10"/>
  <c r="S53" i="10"/>
  <c r="S82" i="10"/>
  <c r="T71" i="10"/>
  <c r="R84" i="10"/>
  <c r="R111" i="10"/>
  <c r="S139" i="10"/>
  <c r="S75" i="10"/>
  <c r="T92" i="10"/>
  <c r="R144" i="10"/>
  <c r="T124" i="10"/>
  <c r="S95" i="10"/>
  <c r="T132" i="10"/>
  <c r="R118" i="10"/>
  <c r="R54" i="10"/>
  <c r="S103" i="10"/>
  <c r="T118" i="10"/>
  <c r="T69" i="10"/>
  <c r="R137" i="10"/>
  <c r="R73" i="10"/>
  <c r="S88" i="10"/>
  <c r="T137" i="10"/>
  <c r="T74" i="10"/>
  <c r="S65" i="10"/>
  <c r="R95" i="10"/>
  <c r="S77" i="10"/>
  <c r="S106" i="10"/>
  <c r="T95" i="10"/>
  <c r="R88" i="10"/>
  <c r="T93" i="10"/>
  <c r="S110" i="10"/>
  <c r="R86" i="10"/>
  <c r="S140" i="10"/>
  <c r="S70" i="10"/>
  <c r="T59" i="10"/>
  <c r="R68" i="10"/>
  <c r="R105" i="10"/>
  <c r="S117" i="10"/>
  <c r="S51" i="10"/>
  <c r="T68" i="10"/>
  <c r="R124" i="10"/>
  <c r="R127" i="10"/>
  <c r="R63" i="10"/>
  <c r="S141" i="10"/>
  <c r="T127" i="10"/>
  <c r="T105" i="10"/>
  <c r="S129" i="10"/>
  <c r="T64" i="10"/>
  <c r="S126" i="10"/>
  <c r="R102" i="10"/>
  <c r="R120" i="10"/>
  <c r="T121" i="10"/>
  <c r="S112" i="10"/>
  <c r="S142" i="10"/>
  <c r="S105" i="10"/>
  <c r="R121" i="10"/>
  <c r="T81" i="10"/>
  <c r="T143" i="10"/>
  <c r="T99" i="10"/>
  <c r="S134" i="10"/>
  <c r="R57" i="10"/>
  <c r="R143" i="10"/>
  <c r="T98" i="10"/>
  <c r="T56" i="10"/>
  <c r="S115" i="10"/>
  <c r="R79" i="10"/>
  <c r="S143" i="10"/>
  <c r="E38" i="10" l="1"/>
  <c r="E41" i="10" s="1"/>
  <c r="M113" i="2" s="1"/>
  <c r="Z67" i="1" s="1"/>
  <c r="Z69" i="1" s="1"/>
  <c r="F40" i="10"/>
  <c r="F43" i="10" s="1"/>
  <c r="M106" i="2" s="1"/>
  <c r="D38" i="10"/>
  <c r="D41" i="10" s="1"/>
  <c r="M122" i="2" s="1"/>
  <c r="N122" i="2" s="1"/>
  <c r="D39" i="10"/>
  <c r="D42" i="10" s="1"/>
  <c r="M123" i="2" s="1"/>
  <c r="F39" i="10"/>
  <c r="F42" i="10" s="1"/>
  <c r="M105" i="2" s="1"/>
  <c r="F38" i="10"/>
  <c r="F41" i="10" s="1"/>
  <c r="M104" i="2" s="1"/>
  <c r="E40" i="10"/>
  <c r="E43" i="10" s="1"/>
  <c r="M115" i="2" s="1"/>
  <c r="D40" i="10"/>
  <c r="D43" i="10" s="1"/>
  <c r="M124" i="2" s="1"/>
  <c r="E39" i="10"/>
  <c r="E42" i="10" s="1"/>
  <c r="M114" i="2" s="1"/>
  <c r="N115" i="2" l="1"/>
  <c r="M15" i="1"/>
  <c r="N15" i="1" s="1"/>
  <c r="N113" i="2"/>
  <c r="N114" i="2"/>
  <c r="N124" i="2"/>
  <c r="N123" i="2"/>
  <c r="M24" i="1"/>
  <c r="M25" i="1" s="1"/>
  <c r="M26" i="1" s="1"/>
  <c r="N26" i="1" s="1"/>
  <c r="AA67" i="1"/>
  <c r="AA69" i="1" s="1"/>
  <c r="N105" i="2"/>
  <c r="N104" i="2"/>
  <c r="M6" i="1"/>
  <c r="N106" i="2"/>
  <c r="Y67" i="1"/>
  <c r="Y69" i="1" s="1"/>
  <c r="M16" i="1" l="1"/>
  <c r="M17" i="1" s="1"/>
  <c r="N17" i="1" s="1"/>
  <c r="N24" i="1"/>
  <c r="N25" i="1"/>
  <c r="M41" i="1"/>
  <c r="M7" i="1"/>
  <c r="N7" i="1" s="1"/>
  <c r="N6" i="1"/>
  <c r="N16" i="1" l="1"/>
  <c r="M34" i="1"/>
  <c r="N41" i="1"/>
  <c r="H58" i="1"/>
  <c r="M42" i="1"/>
  <c r="M8" i="1"/>
  <c r="M35" i="1" l="1"/>
  <c r="N35" i="1" s="1"/>
  <c r="H59" i="1"/>
  <c r="H52" i="1" s="1"/>
  <c r="N34" i="1"/>
  <c r="I58" i="1"/>
  <c r="H51" i="1"/>
  <c r="N42" i="1"/>
  <c r="M43" i="1"/>
  <c r="N8" i="1"/>
  <c r="I52" i="1" l="1"/>
  <c r="I51" i="1"/>
  <c r="M36" i="1"/>
  <c r="N36" i="1" s="1"/>
  <c r="H60" i="1"/>
  <c r="N43" i="1"/>
  <c r="I59" i="1"/>
  <c r="H53" i="1" l="1"/>
  <c r="I53" i="1" s="1"/>
  <c r="I60" i="1"/>
</calcChain>
</file>

<file path=xl/comments1.xml><?xml version="1.0" encoding="utf-8"?>
<comments xmlns="http://schemas.openxmlformats.org/spreadsheetml/2006/main">
  <authors>
    <author>Nathan NV. VANDROMME</author>
  </authors>
  <commentList>
    <comment ref="E1" authorId="0" shapeId="0">
      <text>
        <r>
          <rPr>
            <b/>
            <sz val="9"/>
            <color indexed="81"/>
            <rFont val="Tahoma"/>
            <family val="2"/>
          </rPr>
          <t>Nathan NV. VANDROMME:</t>
        </r>
        <r>
          <rPr>
            <sz val="9"/>
            <color indexed="81"/>
            <rFont val="Tahoma"/>
            <family val="2"/>
          </rPr>
          <t xml:space="preserve">
XX refers to the nature of the deposit : Crushed Rock (CR), Sand &amp; Gravel and Recycled aggregates (RA)
YY refers to the size of the quarries : Large quarries (LQ), Medium quarries (MQ) and Small quarries (SQ)
ZZ refers to the type of particles : TSP, PM10 or PM2.5.</t>
        </r>
      </text>
    </comment>
    <comment ref="A6" authorId="0" shapeId="0">
      <text>
        <r>
          <rPr>
            <b/>
            <sz val="9"/>
            <color indexed="81"/>
            <rFont val="Tahoma"/>
            <family val="2"/>
          </rPr>
          <t>Nathan NV. VANDROMME:</t>
        </r>
        <r>
          <rPr>
            <sz val="9"/>
            <color indexed="81"/>
            <rFont val="Tahoma"/>
            <family val="2"/>
          </rPr>
          <t xml:space="preserve">
Those values are only use when parameters are not available for some categories of quarries</t>
        </r>
      </text>
    </comment>
    <comment ref="A78" authorId="0" shapeId="0">
      <text>
        <r>
          <rPr>
            <b/>
            <sz val="9"/>
            <color indexed="81"/>
            <rFont val="Tahoma"/>
            <family val="2"/>
          </rPr>
          <t>Nathan NV. VANDROMME:</t>
        </r>
        <r>
          <rPr>
            <sz val="9"/>
            <color indexed="81"/>
            <rFont val="Tahoma"/>
            <family val="2"/>
          </rPr>
          <t xml:space="preserve">
The process is considered wet when the moisture content is above 1.3% [5]</t>
        </r>
      </text>
    </comment>
    <comment ref="A79" authorId="0" shapeId="0">
      <text>
        <r>
          <rPr>
            <b/>
            <sz val="9"/>
            <color indexed="81"/>
            <rFont val="Tahoma"/>
            <family val="2"/>
          </rPr>
          <t>Nathan NV. VANDROMME:</t>
        </r>
        <r>
          <rPr>
            <sz val="9"/>
            <color indexed="81"/>
            <rFont val="Tahoma"/>
            <family val="2"/>
          </rPr>
          <t xml:space="preserve">
The process is considered wet when the moisture content is above 1.3% [5]</t>
        </r>
      </text>
    </comment>
    <comment ref="A80" authorId="0" shapeId="0">
      <text>
        <r>
          <rPr>
            <b/>
            <sz val="9"/>
            <color indexed="81"/>
            <rFont val="Tahoma"/>
            <family val="2"/>
          </rPr>
          <t>Nathan NV. VANDROMME:</t>
        </r>
        <r>
          <rPr>
            <sz val="9"/>
            <color indexed="81"/>
            <rFont val="Tahoma"/>
            <family val="2"/>
          </rPr>
          <t xml:space="preserve">
The process is considered wet when the moisture content is above 1.3% [5]</t>
        </r>
      </text>
    </comment>
    <comment ref="A172" authorId="0" shapeId="0">
      <text>
        <r>
          <rPr>
            <b/>
            <sz val="9"/>
            <color indexed="81"/>
            <rFont val="Tahoma"/>
            <family val="2"/>
          </rPr>
          <t>Nathan NV. VANDROMME:</t>
        </r>
        <r>
          <rPr>
            <sz val="9"/>
            <color indexed="81"/>
            <rFont val="Tahoma"/>
            <family val="2"/>
          </rPr>
          <t xml:space="preserve">
Usually, quarries don't use abatement technology when the material is already wet.</t>
        </r>
      </text>
    </comment>
    <comment ref="A264" authorId="0" shapeId="0">
      <text>
        <r>
          <rPr>
            <b/>
            <sz val="9"/>
            <color indexed="81"/>
            <rFont val="Tahoma"/>
            <family val="2"/>
          </rPr>
          <t>Nathan NV. VANDROMME:</t>
        </r>
        <r>
          <rPr>
            <sz val="9"/>
            <color indexed="81"/>
            <rFont val="Tahoma"/>
            <family val="2"/>
          </rPr>
          <t xml:space="preserve">
If the paved roads are often wetted and/or swept the silt content can be reduced to a minimum of 1 (1 indicates no visible dust resuspension due to vehicles on a dry road). </t>
        </r>
      </text>
    </comment>
  </commentList>
</comments>
</file>

<file path=xl/sharedStrings.xml><?xml version="1.0" encoding="utf-8"?>
<sst xmlns="http://schemas.openxmlformats.org/spreadsheetml/2006/main" count="1346" uniqueCount="487">
  <si>
    <t>TSP</t>
  </si>
  <si>
    <t>PM10</t>
  </si>
  <si>
    <t>Crushed rock</t>
  </si>
  <si>
    <t>Grain size distribution</t>
  </si>
  <si>
    <t>Sand &amp; Gravel</t>
  </si>
  <si>
    <t>Medium Quarries</t>
  </si>
  <si>
    <t>Small Quarries</t>
  </si>
  <si>
    <t>Large Quarries</t>
  </si>
  <si>
    <t>DRILLING AND BLASTING</t>
  </si>
  <si>
    <t>MATERIAL PROCESSING</t>
  </si>
  <si>
    <t>INTERNAL TRANSPORT</t>
  </si>
  <si>
    <t>MATERIAL HANDLING OPERATION</t>
  </si>
  <si>
    <t>WIND EROSION FROM STOCKPILES</t>
  </si>
  <si>
    <t>Total</t>
  </si>
  <si>
    <t>Size distribution (in production)</t>
  </si>
  <si>
    <t>Size distribution (in number)</t>
  </si>
  <si>
    <t>-</t>
  </si>
  <si>
    <t>GENERAL DATA</t>
  </si>
  <si>
    <t>Average surface of a hole/blast (m²)</t>
  </si>
  <si>
    <t>Average height of a hole (m)</t>
  </si>
  <si>
    <t>References</t>
  </si>
  <si>
    <t>Density</t>
  </si>
  <si>
    <t>Volume of production (m3)</t>
  </si>
  <si>
    <t>Number of holes</t>
  </si>
  <si>
    <t>Emissions Drilling (t)</t>
  </si>
  <si>
    <t>Emissions Blasting (t)</t>
  </si>
  <si>
    <t>Size dispersion</t>
  </si>
  <si>
    <t>Volume per hole (m3)</t>
  </si>
  <si>
    <t>LARGE QUARRIES</t>
  </si>
  <si>
    <t>Crushing - Abatement technology 3 - Efficiency</t>
  </si>
  <si>
    <t>Crushing - Abatement technology 3 - Use</t>
  </si>
  <si>
    <t>Large quarries</t>
  </si>
  <si>
    <t>Medium quarries</t>
  </si>
  <si>
    <t>Small quarries</t>
  </si>
  <si>
    <t>Crushing - Total abatement - Large quarries</t>
  </si>
  <si>
    <t>Crushing - Total abatement - Medium quarries</t>
  </si>
  <si>
    <t>Crushing - Total abatement - Small quarries</t>
  </si>
  <si>
    <t>Screening - Abatement technology 3 - Efficiency</t>
  </si>
  <si>
    <t>Screening - Abatement technology 3 - Use</t>
  </si>
  <si>
    <t>Screening - Total abatement - Large quarries</t>
  </si>
  <si>
    <t>Screening - Total abatement - Medium quarries</t>
  </si>
  <si>
    <t>Screening - Total abatement - Small quarries</t>
  </si>
  <si>
    <t>Sand &amp; Gravel (SG)</t>
  </si>
  <si>
    <t>Transfer point - Abatement technology 1 - Efficiency</t>
  </si>
  <si>
    <t>Transfer point - Abatement technology 2 - Efficiency</t>
  </si>
  <si>
    <t>Transfer point - Abatement technology 3 - Efficiency</t>
  </si>
  <si>
    <t>Transfer point - Abatement technology 1 - Use</t>
  </si>
  <si>
    <t>Transfer point - Abatement technology 2 - Use</t>
  </si>
  <si>
    <t>Transfer point - Abatement technology 3 - Use</t>
  </si>
  <si>
    <t>Transfer point - Total abatement - Large quarries</t>
  </si>
  <si>
    <t>Transfer point - Total abatement - Medium quarries</t>
  </si>
  <si>
    <t>Transfer point - Total abatement - Small quarries</t>
  </si>
  <si>
    <t>Number of Unit</t>
  </si>
  <si>
    <t>Flow per equipment</t>
  </si>
  <si>
    <t>Region</t>
  </si>
  <si>
    <t xml:space="preserve">Number of days with a wind speed &gt; 19,3 km/h </t>
  </si>
  <si>
    <t>Average wind speed (m/s)</t>
  </si>
  <si>
    <t>Distance travelled on unpaved road - Large quarries</t>
  </si>
  <si>
    <t>Distance travelled on unpaved road - Medium quarries</t>
  </si>
  <si>
    <t>Distance travelled on unpaved road - Small quarries</t>
  </si>
  <si>
    <t>Distance travelled on paved road - Medium quarries</t>
  </si>
  <si>
    <t>Distance travelled on paved road - Small quarries</t>
  </si>
  <si>
    <t>Distance travelled on paved road - Large quarries</t>
  </si>
  <si>
    <t>Number of quarries</t>
  </si>
  <si>
    <t>Distance - Unpaved road (km)</t>
  </si>
  <si>
    <t>Distance - Paved road (km)</t>
  </si>
  <si>
    <t>EF - TSP - Paved road (g/km)</t>
  </si>
  <si>
    <t>EF - PM10 - Paved road (g/km)</t>
  </si>
  <si>
    <t>EF - PM2.5 - Paved road (g/km)</t>
  </si>
  <si>
    <t>Aggregate production (kt)</t>
  </si>
  <si>
    <t>Production from Medium quarries  (kt)</t>
  </si>
  <si>
    <t>Production from Small quarries  (kt)</t>
  </si>
  <si>
    <t>Production from Large quarries (kt)</t>
  </si>
  <si>
    <t>Production from Medium quarries (kt)</t>
  </si>
  <si>
    <t>Production from Small quarries 
(kt)</t>
  </si>
  <si>
    <t>Production from Large quarries  
(kt)</t>
  </si>
  <si>
    <t>Average moisture content of material handled (%)</t>
  </si>
  <si>
    <t>Average number of times the material is handled</t>
  </si>
  <si>
    <t>EF constant - TSP</t>
  </si>
  <si>
    <t>EF constant - PM10</t>
  </si>
  <si>
    <t>EF constant - PM2.5</t>
  </si>
  <si>
    <t>Angle of repose</t>
  </si>
  <si>
    <t>Primary Crusher (% of total production)</t>
  </si>
  <si>
    <t>Secondary Crusher (% of total production)</t>
  </si>
  <si>
    <t>Tertiary Crusher (% of total production)</t>
  </si>
  <si>
    <t>Primary Screener (% of total production)</t>
  </si>
  <si>
    <t>Secondary Screener (% of total production)</t>
  </si>
  <si>
    <t>Tertiary Screener (% of total production)</t>
  </si>
  <si>
    <t>Primary Transfer Point (% of total production)</t>
  </si>
  <si>
    <t>Secondary Transfer Point (% of total production)</t>
  </si>
  <si>
    <t>Tertiary Transfer Point (% of total production)</t>
  </si>
  <si>
    <t>Secondary Unit</t>
  </si>
  <si>
    <t>Primary Unit</t>
  </si>
  <si>
    <t>Tertiary Unit</t>
  </si>
  <si>
    <t>Large quarries - Primary Unit</t>
  </si>
  <si>
    <t>Medium quarries - Primary Unit</t>
  </si>
  <si>
    <t>Small quarries - Primary Unit</t>
  </si>
  <si>
    <t>Large quarries - Secondary Unit</t>
  </si>
  <si>
    <t>Medium quarries - Secondary Unit</t>
  </si>
  <si>
    <t>Small quarries - Secondary Unit</t>
  </si>
  <si>
    <t>Large quarries - Tertiary Unit</t>
  </si>
  <si>
    <t>Medium quarries - Tertiary Unit</t>
  </si>
  <si>
    <t>Small quarries - Tertiary Unit</t>
  </si>
  <si>
    <t>Average production per Large quarries (kt)</t>
  </si>
  <si>
    <t>Average production per Small quarries (kt)</t>
  </si>
  <si>
    <t>Average production per Medium quarries (kt)</t>
  </si>
  <si>
    <t>Coefficient Wind Erosion</t>
  </si>
  <si>
    <t>Aerodynamic Factor - TSP</t>
  </si>
  <si>
    <t>Aerodynamic Factor - PM10</t>
  </si>
  <si>
    <t>Aerodynamic Factor - PM2.5</t>
  </si>
  <si>
    <t>Silt content of stockpiles (%)</t>
  </si>
  <si>
    <t>Total Stockpiles Surface - Large Quarries (m2)</t>
  </si>
  <si>
    <t>Total Stockpiles Surface - Medium Quarries (m2)</t>
  </si>
  <si>
    <t>Total Stockpiles Surface - Small Quarries (m2)</t>
  </si>
  <si>
    <t>Total Emission factor (g/t)</t>
  </si>
  <si>
    <t>Screening - Covered Screen - Efficiency</t>
  </si>
  <si>
    <t>Screening - Covered Screen - Use</t>
  </si>
  <si>
    <t>Crushing - Partial Enclosure - Efficiency</t>
  </si>
  <si>
    <t>Crushing - Partial Enclosure - Use</t>
  </si>
  <si>
    <t>Crushing - Water Spray - Efficiency</t>
  </si>
  <si>
    <t>Crushing - Water Spray - Use</t>
  </si>
  <si>
    <t>[13] EMEP - road surface wear</t>
  </si>
  <si>
    <t>Bulk density of material in stockpiles</t>
  </si>
  <si>
    <t>Explaination on the methodology used :</t>
  </si>
  <si>
    <t>Recycled aggregates</t>
  </si>
  <si>
    <t>EF Drilling - TSP (kg/hole)</t>
  </si>
  <si>
    <t>EF Drilling - PM10 (kg/hole)</t>
  </si>
  <si>
    <t>EF Drilling - PM2.5 (kg/hole)</t>
  </si>
  <si>
    <t>EF Blasting - TSP (kg/blast)</t>
  </si>
  <si>
    <t>EF Blasting - PM10 (kg/blast)</t>
  </si>
  <si>
    <t>EF Blasting - PM2.5 (kg/blast)</t>
  </si>
  <si>
    <t>EF  (g/m²) - w/o Aerodynamic Factor and Silt Content</t>
  </si>
  <si>
    <t>EF (g/t)</t>
  </si>
  <si>
    <t>Prod_XX</t>
  </si>
  <si>
    <t>Size_dist_YY_XX</t>
  </si>
  <si>
    <t>NB_YY_XX</t>
  </si>
  <si>
    <t>Hole_surface</t>
  </si>
  <si>
    <t>Hole_height</t>
  </si>
  <si>
    <t>EF_Drilling_ZZ</t>
  </si>
  <si>
    <t>EF_Blasting_ZZ</t>
  </si>
  <si>
    <t>EF_Crush_Dry_ZZ_XX</t>
  </si>
  <si>
    <t>EF_Crush_Wet_ZZ_XX</t>
  </si>
  <si>
    <t>EF_Screen_Dry_ZZ_XX</t>
  </si>
  <si>
    <t>EF_Screen_Wet_ZZ_XX</t>
  </si>
  <si>
    <t>EF_TP_Dry_ZZ_XX</t>
  </si>
  <si>
    <t>EF_TP_Wet_ZZ_XX</t>
  </si>
  <si>
    <t>Flow_P_Crush_XX</t>
  </si>
  <si>
    <t>Flow_S_Crush_XX</t>
  </si>
  <si>
    <t>Flow_T_Crush_XX</t>
  </si>
  <si>
    <t>Flow_P_Screen_XX</t>
  </si>
  <si>
    <t>Flow_S_Screen_XX</t>
  </si>
  <si>
    <t>Flow_T_Screen_XX</t>
  </si>
  <si>
    <t>Flow_P_TP_XX</t>
  </si>
  <si>
    <t>Flow_S_TP_XX</t>
  </si>
  <si>
    <t>Flow_T_TP_XX</t>
  </si>
  <si>
    <t>NB_P_Unit_LQ_XX</t>
  </si>
  <si>
    <t>NB_S_Unit_LQ_XX</t>
  </si>
  <si>
    <t>NB_T_Unit_LQ_XX</t>
  </si>
  <si>
    <t>NB_P_Unit_MQ_XX</t>
  </si>
  <si>
    <t>NB_S_Unit_MQ_XX</t>
  </si>
  <si>
    <t>NB_T_Unit_MQ_XX</t>
  </si>
  <si>
    <t>NB_P_Unit_SQ_XX</t>
  </si>
  <si>
    <t>NB_S_Unit_SQ_XX</t>
  </si>
  <si>
    <t>NB_T_Unit_SQ_XX</t>
  </si>
  <si>
    <t>Dist_Uroad_YY_XX</t>
  </si>
  <si>
    <t>Dist_Proad_YY_XX</t>
  </si>
  <si>
    <t>Rwat_Eff_XX</t>
  </si>
  <si>
    <t>Rwat_Use_YY_XX</t>
  </si>
  <si>
    <t>Veh_W_YY_XX</t>
  </si>
  <si>
    <t>EF_ZZ_Proad_XX</t>
  </si>
  <si>
    <t>Moisture_XX</t>
  </si>
  <si>
    <t>Handling_Const_EF_ZZ_XX</t>
  </si>
  <si>
    <t>Angle_XX</t>
  </si>
  <si>
    <t>Std_Surf_YY_XX</t>
  </si>
  <si>
    <t>Density_stockpiles_XX</t>
  </si>
  <si>
    <t>Coeff_wind_Erosion_XX</t>
  </si>
  <si>
    <t>AeroDyn_Factor_YY_XX</t>
  </si>
  <si>
    <t>Silt_Content_Stockpiles_XX</t>
  </si>
  <si>
    <t>NB_Hand_Oper_XX</t>
  </si>
  <si>
    <t>Standard production (kt)</t>
  </si>
  <si>
    <t>Std_Prod_YY_XX</t>
  </si>
  <si>
    <t>X</t>
  </si>
  <si>
    <t>METHODOLOGY</t>
  </si>
  <si>
    <t>Scope</t>
  </si>
  <si>
    <t>2.A.5.a Quarrying and mining of minerals other than coal</t>
  </si>
  <si>
    <t>Emissions considered</t>
  </si>
  <si>
    <t xml:space="preserve">Dust emissions in quarries come from multiple point (emissions) sources disseminated within a vast area and changing with time and along with the operation of the exploitation. They are constituted by coarse mineral particles, mainly in the PM10 fraction. PM2.5 fraction is smaller. </t>
  </si>
  <si>
    <t>1 - Drilling and blasting</t>
  </si>
  <si>
    <t>2 - Material processing: crushing, screening and transfer points</t>
  </si>
  <si>
    <t>3 - Internal transport</t>
  </si>
  <si>
    <t>4 - Material handling operation: loading and unloading</t>
  </si>
  <si>
    <t>5 - Wind erosion from stockpiles</t>
  </si>
  <si>
    <t>The operations encountered in a quarry are presented in the following figure.</t>
  </si>
  <si>
    <t xml:space="preserve">Quarries have been divided into 9 categories depending on their size and the nature of the deposit:
</t>
  </si>
  <si>
    <t>- Large quarries (Production ≥ 500 kt )</t>
  </si>
  <si>
    <t>- Medium quarries (100 kt ≤ Production &lt; 500 kt)</t>
  </si>
  <si>
    <t>- Small quarries (Production &lt; 100 kt)</t>
  </si>
  <si>
    <t>Nature of deposit:</t>
  </si>
  <si>
    <t>Size:</t>
  </si>
  <si>
    <t>- Sand &amp; Gravel (SG)</t>
  </si>
  <si>
    <t>- Crushed Rock (CR)</t>
  </si>
  <si>
    <t>- Recycled Aggregates (RA)</t>
  </si>
  <si>
    <t>Recycled aggregates (RA)</t>
  </si>
  <si>
    <t>Cruched rock</t>
  </si>
  <si>
    <t>Data name 
(XX = CR/SG/RA) 
(YY = LQ/MQ/SQ)
(ZZ = TSP/PM10/PM2.5)</t>
  </si>
  <si>
    <t xml:space="preserve">Emission factors are calculated for each category of quarries and for each source. The size of the quarry does not impact the method apply to calculate particulate emissions, but the steps required to extract and process the material depend on the nature of the deposit. The following table indicates what steps are required for each type of deposit.  </t>
  </si>
  <si>
    <t>2 - Material processing</t>
  </si>
  <si>
    <t>4 - Material handling operation</t>
  </si>
  <si>
    <t>CR</t>
  </si>
  <si>
    <t>SG</t>
  </si>
  <si>
    <t>RA</t>
  </si>
  <si>
    <t>Steps</t>
  </si>
  <si>
    <t xml:space="preserve">Emissions sources are as follows: </t>
  </si>
  <si>
    <t xml:space="preserve">The methodologies used to calculate the emission factors for each step and for each category of quarries are presented in the following section and are mainly based on the AP42 (US EPA) methodology. </t>
  </si>
  <si>
    <t>CONTEXT</t>
  </si>
  <si>
    <t>EF</t>
  </si>
  <si>
    <t>EF per step</t>
  </si>
  <si>
    <t>1 - DRILLING AND BLASTING</t>
  </si>
  <si>
    <t>2 - MATERIAL PROCESSING</t>
  </si>
  <si>
    <t>3 - INTERNAL TRANSPORT</t>
  </si>
  <si>
    <t>4 - MATERIAL HANDLING OPERATION</t>
  </si>
  <si>
    <t>5 - STOCKPILES</t>
  </si>
  <si>
    <t>COLOUR LEGEND</t>
  </si>
  <si>
    <t>REFERENCES</t>
  </si>
  <si>
    <t>UEPG, "Estimates of Aggregates Production data 2016", 2018, http://www.uepg.eu/statistics/estimates-of-production-data/data-2016</t>
  </si>
  <si>
    <t>[1] UEPG, 2018</t>
  </si>
  <si>
    <t>[2] FR data, 2012</t>
  </si>
  <si>
    <t>UNICEM, "Poussières des industries de carrières dans l’environnement - Etat des pratiques en France", Response to a questionnaire, 2012</t>
  </si>
  <si>
    <t>[3] FR data, 2012</t>
  </si>
  <si>
    <t>[4] US EPA, 1998</t>
  </si>
  <si>
    <t>US EPA, "AP 42, Fifth Edition, Volume I, Chapter 11.9 : Mineral Products Industry - Western Surface Coal Mining ", 1998</t>
  </si>
  <si>
    <t>US EPA, "AP 42, Fifth Edition, Volume I, Chapter 11.19-2 : Mineral Products Industry - Crushed Stone Processing and Pulverized Mineral Processing", 2004</t>
  </si>
  <si>
    <t>[5] US EPA, 2004</t>
  </si>
  <si>
    <t>[6] FR data, 2018</t>
  </si>
  <si>
    <t>Government of Canada, "Pits and quarries reporting guide", 2017, https://www.canada.ca/en/environment-climate-change/services/national-pollutant-release-inventory/report/pits-quarries-guide.html</t>
  </si>
  <si>
    <t>[8] FR data, 2013</t>
  </si>
  <si>
    <t>UNICEM, "Bilan des systèmes de réduction des émissions de poussières mis en place", Survey 2013</t>
  </si>
  <si>
    <t>UNICEM, "Questionnaire to quarries operators", Survey 2012</t>
  </si>
  <si>
    <t>[9] FR data, 2012</t>
  </si>
  <si>
    <t>UNICEM, "Réunion de travail sur la détermination du Facteur d’Emission des Carrières", Meeting minutes, 2012</t>
  </si>
  <si>
    <t>UNICEM - Oral communication, 2018</t>
  </si>
  <si>
    <t>UNICEM, "Hypothesis validation", email, 2012</t>
  </si>
  <si>
    <t>[10] FR data, 2012</t>
  </si>
  <si>
    <t>Government of Canada, "Road dust emissions from unpaved surfaces: guide to reporting", 2017, https://www.canada.ca/en/environment-climate-change/services/national-pollutant-release-inventory/report/sector-specific-tools-calculate-emissions/road-dust-unpaved-surfaces-guide.html</t>
  </si>
  <si>
    <t>Environment Canada, "Tableur pour les poussières des routes industrielles non asphaltées", 2008,  https://www.ec.gc.ca/inrp-npri/6DE7F8BC-5E38-4FD3-B678-FAB93A0D8DF3/RoadDustCalculator_f_Nov_19__2008.xls</t>
  </si>
  <si>
    <t>[12] Canada - Reporting Guide, 2008</t>
  </si>
  <si>
    <t>[11] Canada - Reporting Guide, 2017</t>
  </si>
  <si>
    <t>[7] Canada - Reporting Guide, 2017</t>
  </si>
  <si>
    <t xml:space="preserve">EEA, "1.A.3.b.vi Road transport: Automobile tyre and brake wear and 1.A.3.b.vii Road transport: Automobile road abrasion", Guidebook 2016
</t>
  </si>
  <si>
    <t>[14] FR data, 2013</t>
  </si>
  <si>
    <t>UNICEM, UNPG, "Meeting minutes - 25/11/2013", 2013</t>
  </si>
  <si>
    <t>[15] Paper, 2018</t>
  </si>
  <si>
    <t>H. M. Beakawi Al-Hashemi and O. S. Baghabra Al-Amoudi, "A review on the angle of repose of granular materials", Powder Technology 330 (2018) 397–417,  https://www.sciencedirect.com/science/article/pii/S0032591018301153</t>
  </si>
  <si>
    <t>CM 425, "Aggregates for concrerte", University of Washington, 2015,  http://courses.washington.edu/cm425/aggregate.pdf</t>
  </si>
  <si>
    <t>[16] University Course, 2015</t>
  </si>
  <si>
    <t>Particulate emissions: TSP, PM10 and PM2.5</t>
  </si>
  <si>
    <t>US EPA, "AP 42, Fifth Edition, Volume I, Chapter 13.2.4: Miscellaneous Sources - Aggregate Handling and Storage Piles", 2006, https://www3.epa.gov/ttn/chief/ap42/ch13/index.html</t>
  </si>
  <si>
    <t>[18] US EPA, 2006</t>
  </si>
  <si>
    <t>[19] US EPA, 2006</t>
  </si>
  <si>
    <t>US EPA, "AP 42, Fifth Edition, Volume I, Chapter 13.2.2: Miscellaneous Sources - Unpaved Roads", 2006, https://www3.epa.gov/ttn/chief/ap42/ch13/index.html</t>
  </si>
  <si>
    <t>This type of quarries does not have this step</t>
  </si>
  <si>
    <t xml:space="preserve">This type of quarries does not have this step </t>
  </si>
  <si>
    <t>MATERIAL PROCESSING - Methodology</t>
  </si>
  <si>
    <t>MATERIAL PROCESSING - Results</t>
  </si>
  <si>
    <t>DRILLING AND BLASTING - Results</t>
  </si>
  <si>
    <t>DRILLING AND BLASTING - Methodology</t>
  </si>
  <si>
    <t>INTERNAL TRANSPORT - Results</t>
  </si>
  <si>
    <t>INTERNAL TRANSPORT - Pre-processing</t>
  </si>
  <si>
    <t>INTERNAL TRANSPORT - Methodology</t>
  </si>
  <si>
    <t>MATERIAL HANDLING OPERATION - Methodology</t>
  </si>
  <si>
    <t>MATERIAL HANDLING OPERATION - Results</t>
  </si>
  <si>
    <t>MATERIAL HANDLING OPERATION - Pre-processing</t>
  </si>
  <si>
    <t>WIND EROSION FROM STOCKPILES - Results</t>
  </si>
  <si>
    <t>WIND EROSION FROM STOCKPILES - Methodology</t>
  </si>
  <si>
    <t>Large quarries (LQ) (Prod. &gt; 500 Mt)</t>
  </si>
  <si>
    <t>Medium quarries (MQ) (100 Mt &lt; Prod. &lt; 500 Mt)</t>
  </si>
  <si>
    <t>Small quarries (SQ) (Prod. &lt; 100 Mt)</t>
  </si>
  <si>
    <t>Distance travelled - LQ (km)</t>
  </si>
  <si>
    <t>Percentage of unpaved road - LQ (%)</t>
  </si>
  <si>
    <t>Distance travelled by conveyor belts - LQ (%)</t>
  </si>
  <si>
    <t>Distance travelled on unpaved road - LQ (km)</t>
  </si>
  <si>
    <t>Distance travelled on paved road - LQ (km)</t>
  </si>
  <si>
    <t>Vehicles weight on average - LQ (t)</t>
  </si>
  <si>
    <t>Number of stockpiles - LQ</t>
  </si>
  <si>
    <t>Standard stockpile volume - LQ (m3)</t>
  </si>
  <si>
    <t>Standard stockpile height - LQ</t>
  </si>
  <si>
    <t>Standard stockpile surface - LQ</t>
  </si>
  <si>
    <t>Distance travelled on unpaved road - MQ (km)</t>
  </si>
  <si>
    <t>Percentage of unpaved road - MQ (%)</t>
  </si>
  <si>
    <t>Distance travelled by conveyor belts - MQ (%)</t>
  </si>
  <si>
    <t>Vehicles weight on average - MQ (t)</t>
  </si>
  <si>
    <t>Number of stockpiles - MQ</t>
  </si>
  <si>
    <t>Standard stockpile volume stored - MQ (m3)</t>
  </si>
  <si>
    <t>Standard stockpile height - MQ</t>
  </si>
  <si>
    <t>Standard stockpile surface - MQ</t>
  </si>
  <si>
    <t>Distance travelled on unpaved road - SQ (km)</t>
  </si>
  <si>
    <t>Percentage of unpaved road - SQ (%)</t>
  </si>
  <si>
    <t>Distance travelled by conveyor belts - SQ (%)</t>
  </si>
  <si>
    <t>Distance travelled on paved road - SQ (km)</t>
  </si>
  <si>
    <t>Vehicles weight on average - SQ (t)</t>
  </si>
  <si>
    <t>Number of stockpiles - SQ</t>
  </si>
  <si>
    <t>Standard stockpile volume stored - SQ (m3)</t>
  </si>
  <si>
    <t>Standard stockpile height - SQ</t>
  </si>
  <si>
    <t>Standard stockpile surface - SQ</t>
  </si>
  <si>
    <t>Distance travelled on paved road - MQ (km)</t>
  </si>
  <si>
    <t>Crushed rock 
(CR)</t>
  </si>
  <si>
    <t>E_TSP</t>
  </si>
  <si>
    <t>E_PM10</t>
  </si>
  <si>
    <t>E_PM2.5</t>
  </si>
  <si>
    <t>EF_TSP (g/t)</t>
  </si>
  <si>
    <t>EF_PM10 (g/t)</t>
  </si>
  <si>
    <t>EF_PM2.5 (g/t)</t>
  </si>
  <si>
    <t>EF_TSP (g/t) - Crushers</t>
  </si>
  <si>
    <t>EF_PM10 (g/t) - Crushers</t>
  </si>
  <si>
    <t>EF_PM2.5 (g/t) - Crushers</t>
  </si>
  <si>
    <t>EF_TSP (g/t) - Screeners</t>
  </si>
  <si>
    <t>EF_PM10 (g/t) - Screeners</t>
  </si>
  <si>
    <t>EF_PM2.5 (g/t) - Screeners</t>
  </si>
  <si>
    <t>EF_TSP (g/t) - Transfer Points</t>
  </si>
  <si>
    <t>EF_PM10 (g/t) - Transfer Points</t>
  </si>
  <si>
    <t>EF_PM2.5 (g/t) - Transfer Points</t>
  </si>
  <si>
    <t>Emissions_TSP (t)</t>
  </si>
  <si>
    <t>Emissions_PM10 (t)</t>
  </si>
  <si>
    <t>Emissions_PM2.5 (t)</t>
  </si>
  <si>
    <t>EF_TSP - Unpaved road (g/km)</t>
  </si>
  <si>
    <t>EF_PM10 - Unpaved road (g/km)</t>
  </si>
  <si>
    <t>EF_PM2.5 - Unpaved road (g/km)</t>
  </si>
  <si>
    <t>EF_Paved road - TSP (g/km)</t>
  </si>
  <si>
    <t>EF_Paved road - PM10 (g/km)</t>
  </si>
  <si>
    <t>EF_Paved road - PM2.5 (g/km)</t>
  </si>
  <si>
    <t>EF Crushing Dry - TSP (g/t)</t>
  </si>
  <si>
    <t>EF Crushing Dry - PM10 (g/t)</t>
  </si>
  <si>
    <t>EF Crushing Dry - PM2.5 (g/t)</t>
  </si>
  <si>
    <t>EF Crushing Wet - TSP (g/t)</t>
  </si>
  <si>
    <t>EF Crushing Wet - PM10 (g/t)</t>
  </si>
  <si>
    <t>EF Crushing Wet - PM2.5 (g/t)</t>
  </si>
  <si>
    <t>EF Screening Dry - TSP (g/t)</t>
  </si>
  <si>
    <t>EF Screening Dry - PM10 (g/t)</t>
  </si>
  <si>
    <t>EF Screening Dry - PM2.5 (g/t)</t>
  </si>
  <si>
    <t>EF Screening Wet - TSP (g/t)</t>
  </si>
  <si>
    <t>EF Screening Wet - PM10 (g/t)</t>
  </si>
  <si>
    <t>EF Screening Wet - PM2.5 (g/t)</t>
  </si>
  <si>
    <t>EF Transfer Point Dry - TSP (g/t)</t>
  </si>
  <si>
    <t>EF Transfer Point Dry - PM10 (g/t)</t>
  </si>
  <si>
    <t>EF Transfer Point Dry - PM2.5 (g/t)</t>
  </si>
  <si>
    <t>EF Transfer Point Wet - TSP (g/t)</t>
  </si>
  <si>
    <t>EF Transfer Point Wet - PM10 (g/t)</t>
  </si>
  <si>
    <t>EF Transfer Point Wet - PM2.5 (g/t)</t>
  </si>
  <si>
    <t>Quantity stored in stockpiles - LQ (week of production)</t>
  </si>
  <si>
    <t>Quantity stored in stockpiles - MQ (week of production)</t>
  </si>
  <si>
    <t>Quantity stored in stockpiles - SQ (week of production)</t>
  </si>
  <si>
    <t>Stockpile_H_YY_XX</t>
  </si>
  <si>
    <t>Standard stockpile radii - LQ</t>
  </si>
  <si>
    <t>Standard stockpile radii - MQ</t>
  </si>
  <si>
    <t>Standard stockpile radii - SQ</t>
  </si>
  <si>
    <t>Surface material silt content - Paved road (g/m2)</t>
  </si>
  <si>
    <t>Surf_Mat_Silt_UR_XX</t>
  </si>
  <si>
    <t>Surf_Mat_Silt_PR_XX</t>
  </si>
  <si>
    <t>Abatement factor - Unpaved road (%) (1-ER)</t>
  </si>
  <si>
    <t>Abatement factor - Paved road (%) (1-ER)</t>
  </si>
  <si>
    <t>Environmental meteorology, "VDI 3790 - Part 4 - Emission of gases, odours and dusts from diffusive sources - Dust emissions due to vehicle movements on roads not open to the public", 2018</t>
  </si>
  <si>
    <t>[20] VDI-3790, 2018</t>
  </si>
  <si>
    <t>Screening - Wet Screening - Efficiency</t>
  </si>
  <si>
    <t>Screening - Wet Screening - Use</t>
  </si>
  <si>
    <t>Road watering - Efficiency (unpaved road)</t>
  </si>
  <si>
    <t>Road watering - Use - LQ (unpaved road)</t>
  </si>
  <si>
    <t>Road watering - Use - MQ (unpaved road)</t>
  </si>
  <si>
    <t>Road watering - Use - SQ (unpaved road)</t>
  </si>
  <si>
    <t>Surface material silt content - Unpaved road (%)</t>
  </si>
  <si>
    <t>Weeks_stored_YY_XX</t>
  </si>
  <si>
    <t>UNICEM - "Minutes : Actualisation de la méthodologie d’estimation des émissions des carrières - 20-09-2018", 2018</t>
  </si>
  <si>
    <t>[21] FR data, 2018</t>
  </si>
  <si>
    <t xml:space="preserve">Rain abatement factor - Unpaved road (1-ER)
(%) </t>
  </si>
  <si>
    <t>Rain abatement factor - Paved road (1-ER)
(%)</t>
  </si>
  <si>
    <t>Percentage of wet processing (%) - Large quarries</t>
  </si>
  <si>
    <t>Percentage of wet processing (%) - Medium quarries</t>
  </si>
  <si>
    <t>Percentage of wet processing (%) - Small quarries</t>
  </si>
  <si>
    <t>Wet_Proc_perc_YY_XX</t>
  </si>
  <si>
    <t>Crushing - abatement technology - Dry Processing</t>
  </si>
  <si>
    <t>Screening - abatement technology - Dry Processing</t>
  </si>
  <si>
    <t>Transfer point - abatement technology - Dry Processing</t>
  </si>
  <si>
    <t>Transfer point - abatement technology - Wet Processing</t>
  </si>
  <si>
    <t>Crushing - abatement technology - Wet Processing</t>
  </si>
  <si>
    <t>Screening - abatement technology - Wet Processing</t>
  </si>
  <si>
    <t>Crush_Aba_DP_LQ_XX</t>
  </si>
  <si>
    <t>Crush_Aba_DP_MQ_XX</t>
  </si>
  <si>
    <t>Crush_Aba_DP_SQ_XX</t>
  </si>
  <si>
    <t>Screen_Aba_DP_LQ_XX</t>
  </si>
  <si>
    <t>Screen_Aba_DP_MQ_XX</t>
  </si>
  <si>
    <t>Screen_Aba_DP_SQ_XX</t>
  </si>
  <si>
    <t>TP_Aba_DP_LQ_XX</t>
  </si>
  <si>
    <t>TP_Aba_DP_MQ_XX</t>
  </si>
  <si>
    <t>TP_Aba_DP_SQ_XX</t>
  </si>
  <si>
    <t>TP_Aba_WP_LQ_XX</t>
  </si>
  <si>
    <t>TP_Aba_WP_MQ_XX</t>
  </si>
  <si>
    <t>TP_Aba_WP_SQ_XX</t>
  </si>
  <si>
    <t>Screen_Aba_WP_LQ_XX</t>
  </si>
  <si>
    <t>Screen_Aba_WP_MQ_XX</t>
  </si>
  <si>
    <t>Screen_Aba_WP_SQ_XX</t>
  </si>
  <si>
    <t>Crush_Aba_WP_LQ_XX</t>
  </si>
  <si>
    <t>Crush_Aba_WP_MQ_XX</t>
  </si>
  <si>
    <t>Crush_Aba_WP_SQ_XX</t>
  </si>
  <si>
    <r>
      <t xml:space="preserve">Source :  U.S. EPA Fifth Edition, Volume I, Chapter 11, section 11.9, Western Surface Coal Mining. [4]
</t>
    </r>
    <r>
      <rPr>
        <b/>
        <sz val="11"/>
        <color theme="1"/>
        <rFont val="Calibri"/>
        <family val="2"/>
        <scheme val="minor"/>
      </rPr>
      <t xml:space="preserve">Emissions_TSP = (0,59 x N_hole + 0,00022 x S^1,5 x N_blast) x 10^-3
Emissions_PM10 = (0,31 x N_hole + 0,00022 x 0,52 x S^1,5 x N_blast) x 10^-3
Emissions_PM2.5 = (0,31 x N_hole + 0,00022 x 0,03 x S^1,5 x N_blast) x 10^-3
</t>
    </r>
    <r>
      <rPr>
        <sz val="11"/>
        <color theme="1"/>
        <rFont val="Calibri"/>
        <family val="2"/>
        <scheme val="minor"/>
      </rPr>
      <t xml:space="preserve">
where: 
     Emissions_ZZ = Emissions of ZZ (t)
     N_hole = Number of holes
     S = Area blasted (m²)
     N_blast = Number of blasts
     ZZ = TSP or PM10 or PM2.5</t>
    </r>
  </si>
  <si>
    <r>
      <t xml:space="preserve">Source : US-EPA, AP-42, Fifth Edition, Volume I, Chapter 11: Mineral Products Industry, Subsection 19.2 : Crushed Stone Processing and Pulverized Mineral Processing [5]
</t>
    </r>
    <r>
      <rPr>
        <b/>
        <sz val="11"/>
        <color theme="1"/>
        <rFont val="Calibri"/>
        <family val="2"/>
        <scheme val="minor"/>
      </rPr>
      <t xml:space="preserve">Emissions_ZZ = EF_ZZ x Production x 10^-6
</t>
    </r>
    <r>
      <rPr>
        <sz val="11"/>
        <color theme="1"/>
        <rFont val="Calibri"/>
        <family val="2"/>
        <scheme val="minor"/>
      </rPr>
      <t xml:space="preserve">with
</t>
    </r>
    <r>
      <rPr>
        <b/>
        <sz val="11"/>
        <color theme="1"/>
        <rFont val="Calibri"/>
        <family val="2"/>
        <scheme val="minor"/>
      </rPr>
      <t>EF_ZZ = (EF_ZZ_Crushers + EF_ZZ_Screeners + EF_ZZ_TransPoints)</t>
    </r>
    <r>
      <rPr>
        <sz val="11"/>
        <color theme="1"/>
        <rFont val="Calibri"/>
        <family val="2"/>
        <scheme val="minor"/>
      </rPr>
      <t xml:space="preserve">
with
</t>
    </r>
    <r>
      <rPr>
        <b/>
        <sz val="11"/>
        <color theme="1"/>
        <rFont val="Calibri"/>
        <family val="2"/>
        <scheme val="minor"/>
      </rPr>
      <t xml:space="preserve">EF_ZZ_Crushers = ∑(EF_ZZ_Crusher_WA x Flow_Crushers x (1 - ER_Crusher)) 
EF_ZZ_Screeners = ∑(EF_ZZ_Screener_WA x Flow_Screeners x (1 - ER_Screener))
EF_ZZ_TransPoints= ∑(EF_ZZ_TransPoint_WA x Flow_TransPoints x (1 - ER_TransPoint))
</t>
    </r>
    <r>
      <rPr>
        <sz val="11"/>
        <color theme="1"/>
        <rFont val="Calibri"/>
        <family val="2"/>
        <scheme val="minor"/>
      </rPr>
      <t xml:space="preserve">
Where : 
     Emissions_ZZ = Emissions of ZZ (t)
     Production = Quantity of material produced (t)
     EF_ZZ = Total emission factor of ZZ for material processing (g/t)
     EF_ZZ_Crushers = Emissions factor of ZZ due to crushers (g/t)
     EF_ZZ_Screeners = Emissions factor of ZZ due to screeners (g/t)
     EF_ZZ_TransPoints = Emissions factor of ZZ due to transfer points (g/t)
     EF_ZZ_Crusher_WA = g of ZZ emitted when one tonne of material is crushed without 
                                             abatement technology (g/t)
     EF_ZZ_Screener_WA = g of ZZ emitted when one tonne of material is screened without 
                                               abatement technology (g/t)
     EF_ZZ_TransPoints_WA = g of ZZ emitted when one tonne of material is tranfered 
                                                     between two equipements without abatement technology (g/t)
     Flow_Crushers = Material throughput in the crushers (% of the production)
     Flow_Screeners = Material throughput in the screeners (% of the production)
     Flow_TransPoints = Material throughput in the transfer points (% of the production)
     ER_Crushers = Abatement factor for crushers (%)
     ER_Screeners = Abatement factor for screeners (%)
     ER_TransPoints = Abatement factor for transfer points (%)
     ZZ = TSP or PM10 or PM2.5</t>
    </r>
  </si>
  <si>
    <r>
      <t xml:space="preserve">Source : US-EPA, AP-42, Fifth Edition, Volume I, Chapter 13: Miscellaneous Sources, Subsection 13.2.4 : Aggregate Handling and Storage Piles [18]
</t>
    </r>
    <r>
      <rPr>
        <b/>
        <sz val="11"/>
        <color theme="1"/>
        <rFont val="Calibri"/>
        <family val="2"/>
        <scheme val="minor"/>
      </rPr>
      <t>Emissions_ZZ = EF_ZZ x Q_MatHandled x 10^-6</t>
    </r>
    <r>
      <rPr>
        <sz val="11"/>
        <color theme="1"/>
        <rFont val="Calibri"/>
        <family val="2"/>
        <scheme val="minor"/>
      </rPr>
      <t xml:space="preserve">
with
</t>
    </r>
    <r>
      <rPr>
        <b/>
        <sz val="11"/>
        <color theme="1"/>
        <rFont val="Calibri"/>
        <family val="2"/>
        <scheme val="minor"/>
      </rPr>
      <t xml:space="preserve">EF_TSP = 0,74 x 0,0016 x (U/2,2)^1,3 x (M/2)^-1,4 x 10^-3
EF_PM10 = 0,35 x 0,0016 x (U/2,2)^1,3 x (M/2)^-1,4 x 10^-3
EF_PM2.5 = 0,053 x 0,0016 x (U/2,2)^1,3 x (M/2)^-1,4 x 10^-3
</t>
    </r>
    <r>
      <rPr>
        <sz val="11"/>
        <color theme="1"/>
        <rFont val="Calibri"/>
        <family val="2"/>
        <scheme val="minor"/>
      </rPr>
      <t xml:space="preserve"> 
where : 
     Emissions_ZZ = Emissions of ZZ (t)
     MatHandled = Quantity of material handled (t)
     EF_ZZ = Emission factor of ZZ for material handling operations (g/t)
     U = Average wind speed (m/s) 
     M = Moisture content of the material (in %)
     Q_MatHandled = Quantity of material handled (t)
     ZZ = TSP or PM10 or PM2.5
</t>
    </r>
  </si>
  <si>
    <t>EF - TSP
(kg/t)</t>
  </si>
  <si>
    <t>EF - PM10
(kg/t)</t>
  </si>
  <si>
    <t>EF - PM2.5
(kg/t)</t>
  </si>
  <si>
    <t>Available data</t>
  </si>
  <si>
    <t>Holes average dimensions</t>
  </si>
  <si>
    <t>Holes and blasts number</t>
  </si>
  <si>
    <t>Other</t>
  </si>
  <si>
    <t>None</t>
  </si>
  <si>
    <t>Calculated number of holes/blasts</t>
  </si>
  <si>
    <t>Number of blasts</t>
  </si>
  <si>
    <t>Crushed rock - EF</t>
  </si>
  <si>
    <t>Crushed rock - Emissions</t>
  </si>
  <si>
    <t>Sand &amp; Gravel - EF</t>
  </si>
  <si>
    <t>Sand &amp; Gravel - Emissions</t>
  </si>
  <si>
    <t>Overall per deposit</t>
  </si>
  <si>
    <t>OVERALL</t>
  </si>
  <si>
    <t>Emissions</t>
  </si>
  <si>
    <t>Recycled aggregates - EF</t>
  </si>
  <si>
    <t>Recycled aggregates - Emissions</t>
  </si>
  <si>
    <t>Emissions (kt)</t>
  </si>
  <si>
    <t>SQ</t>
  </si>
  <si>
    <t>MQ</t>
  </si>
  <si>
    <t>LQ</t>
  </si>
  <si>
    <t>[22] MIRO, 2018</t>
  </si>
  <si>
    <t>MIRO - "Parameter und Daten zur Modellierung von Partikelemissionen von Steinbrüchen - Abstimmung", Version 2.0, 2018</t>
  </si>
  <si>
    <t xml:space="preserve">Number of stockpiles - Large Quarries </t>
  </si>
  <si>
    <t xml:space="preserve">Number of stockpiles - Medium Quarries </t>
  </si>
  <si>
    <t xml:space="preserve">Number of stockpiles - Small Quarries </t>
  </si>
  <si>
    <t>Total stockpiles per Medium Quarry (m2)</t>
  </si>
  <si>
    <t>Total stockpiles per Small Quarry (m2)</t>
  </si>
  <si>
    <t>Total stockpiles area per Large Quarry (m2)</t>
  </si>
  <si>
    <t xml:space="preserve">Source: </t>
  </si>
  <si>
    <t>Aggregates Solutions LafargeHolcim</t>
  </si>
  <si>
    <t>Crushed Rock</t>
  </si>
  <si>
    <t>[23] DWD, 2018</t>
  </si>
  <si>
    <t>Deutscher Wetterdienst (DWD), "CDC - Climate Data Center) - year 2016", accessed 07/11/2018 : https://www.dwd.de/EN/climate_environment/cdc/cdc_node.html</t>
  </si>
  <si>
    <t>Input coefficient in recycled aggregate installation</t>
  </si>
  <si>
    <t>[24] BRB, 2018</t>
  </si>
  <si>
    <t>BRB - Anmerkungen BRB zu Datenblatt 2.0 "Emissionen von Steinbrüchen für RC-Baustoffe", 2018</t>
  </si>
  <si>
    <t>PM2.5</t>
  </si>
  <si>
    <t>Number of days per year with at least 1 mm natural precipitation</t>
  </si>
  <si>
    <t>Example</t>
  </si>
  <si>
    <r>
      <t xml:space="preserve">Source : US-EPA, AP-42, Fifth Edition, Volume I, Chapter 13: Miscellaneous Sources, Subsection 13.2.2 : Unpaved Roads [19] and EMEP Guidebook, chapter 1.A.3.b.vi-vii Road tyre and brake wear, 2016 [13] Environmental meteorology, "VDI 3790 - Part 4 - Emission of gases, odours and dusts from diffusive sources - Dust emissions due to vehicle movements on roads not open to the public", 2018 [20]
</t>
    </r>
    <r>
      <rPr>
        <b/>
        <sz val="11"/>
        <color theme="1"/>
        <rFont val="Calibri"/>
        <family val="2"/>
        <scheme val="minor"/>
      </rPr>
      <t>Emissions_ZZ = Emissions_ZZ_unpaved + Emissions_ZZ_paved</t>
    </r>
    <r>
      <rPr>
        <sz val="11"/>
        <color theme="1"/>
        <rFont val="Calibri"/>
        <family val="2"/>
        <scheme val="minor"/>
      </rPr>
      <t xml:space="preserve">
Where : 
     Emissions_ZZ = Total emissions of ZZ (t)
     Emissions_ZZ_unpaved = Emissions of ZZ from unpaved road (t)
     Emissions_ZZ_paved = Emissions of ZZ from paved road (t)
     ZZ = TSP or PM10 or PM2.5
</t>
    </r>
    <r>
      <rPr>
        <u/>
        <sz val="11"/>
        <color theme="1"/>
        <rFont val="Calibri"/>
        <family val="2"/>
        <scheme val="minor"/>
      </rPr>
      <t>Unpaved Road:</t>
    </r>
    <r>
      <rPr>
        <sz val="11"/>
        <color theme="1"/>
        <rFont val="Calibri"/>
        <family val="2"/>
        <scheme val="minor"/>
      </rPr>
      <t xml:space="preserve">
</t>
    </r>
    <r>
      <rPr>
        <b/>
        <sz val="11"/>
        <color theme="1"/>
        <rFont val="Calibri"/>
        <family val="2"/>
        <scheme val="minor"/>
      </rPr>
      <t>Emissions_ZZ_unpaved = EF_ZZ_unpaved x d_unpaved x 10^-6</t>
    </r>
    <r>
      <rPr>
        <sz val="11"/>
        <color theme="1"/>
        <rFont val="Calibri"/>
        <family val="2"/>
        <scheme val="minor"/>
      </rPr>
      <t xml:space="preserve">
with
</t>
    </r>
    <r>
      <rPr>
        <b/>
        <sz val="11"/>
        <color theme="1"/>
        <rFont val="Calibri"/>
        <family val="2"/>
        <scheme val="minor"/>
      </rPr>
      <t xml:space="preserve">EF_TSP_unpaved = 1 381 x (s/12)^0,7 x (W_dumper/2,72)^0,45 x (1 - p/365) x (1 - ER)
EF_PM10_unpaved = 423 x (s/12)^0,7 x (W_dumper/2,72)^0,45 x (1 - p/365) x (1 - ER)
EF_PM2.5_unpaved = 42 x (s/12)^0,7 x (W_dumper/2,72)^0,45 x (1 - p/365) x (1 - ER)
</t>
    </r>
    <r>
      <rPr>
        <sz val="11"/>
        <color theme="1"/>
        <rFont val="Calibri"/>
        <family val="2"/>
        <scheme val="minor"/>
      </rPr>
      <t xml:space="preserve">
Where : 
     Emissions_ZZ_unpaved = Emissions of ZZ from unpaved road (t)
     EF_ZZ_unpaved = emission factor of ZZ for unpaved road (g/km)
     d_unpaved = Total distance traveled by dumpers on unpaved roads (km)
     W_dumper = Average dumpers weight (t)
     s = Silt content (&lt; 75 µm) of surface material (%)
     ER = Abatement factor (%), depending on the reduction technology implemented
     p = Number of days per year with at least 0,254 mm natural precipitation
     ZZ = TSP or PM10 or PM2.5
</t>
    </r>
    <r>
      <rPr>
        <u/>
        <sz val="11"/>
        <color theme="1"/>
        <rFont val="Calibri"/>
        <family val="2"/>
        <scheme val="minor"/>
      </rPr>
      <t>Paved Road:</t>
    </r>
    <r>
      <rPr>
        <sz val="11"/>
        <color theme="1"/>
        <rFont val="Calibri"/>
        <family val="2"/>
        <scheme val="minor"/>
      </rPr>
      <t xml:space="preserve">
</t>
    </r>
    <r>
      <rPr>
        <b/>
        <sz val="11"/>
        <color theme="1"/>
        <rFont val="Calibri"/>
        <family val="2"/>
        <scheme val="minor"/>
      </rPr>
      <t>Emissions_ZZ_paved = EF_ZZ_paved x d_paved x 10^-6</t>
    </r>
    <r>
      <rPr>
        <sz val="11"/>
        <color theme="1"/>
        <rFont val="Calibri"/>
        <family val="2"/>
        <scheme val="minor"/>
      </rPr>
      <t xml:space="preserve">
with
</t>
    </r>
    <r>
      <rPr>
        <b/>
        <sz val="11"/>
        <color theme="1"/>
        <rFont val="Calibri"/>
        <family val="2"/>
        <scheme val="minor"/>
      </rPr>
      <t xml:space="preserve">EF_TSP_paved = 3,23 x (sL)^0,91 x (W_dumper x 1,1)^1,02 x (1 - p/(4 x 365))
EF_PM10_paved = 0,62 x (sL)^0,91 x (W_dumper x 1,1)^1,02 x (1 - p/(4 x 365))
EF_PM2.5_paved = 0,15 x (sL)^0,91 x (W_dumper x 1,1)^1,02 x (1 - p/(4 x 365))
</t>
    </r>
    <r>
      <rPr>
        <sz val="11"/>
        <color theme="1"/>
        <rFont val="Calibri"/>
        <family val="2"/>
        <scheme val="minor"/>
      </rPr>
      <t xml:space="preserve">
Where : 
     Emissions_ZZ_paved = Emissions of ZZ from paved road (t)
     EF_ZZ_paved = Emission factor of ZZ for paved road (g/km)
     d_paved = Total distance traveled by dumpers on paved roads (km)
     W_dumper = Average dumpers weight (t)
     sL = Silt load (&lt; 75 µm) of paved road (g/m2)
     p = Number of days per year with at least 0,254 mm natural precipitation
     ZZ = TSP or PM10 or PM2.5
</t>
    </r>
  </si>
  <si>
    <r>
      <t xml:space="preserve">Source : Mojave Desert Air Quality Management District, Antelope Valley Air Pollution Control District, Emissions Inventory Guidance - Mineral Handling and Processing Industries [17]
</t>
    </r>
    <r>
      <rPr>
        <b/>
        <sz val="11"/>
        <color theme="1"/>
        <rFont val="Calibri"/>
        <family val="2"/>
        <scheme val="minor"/>
      </rPr>
      <t>Emissions_ZZ = EF_ZZ x Area x 10^-6</t>
    </r>
    <r>
      <rPr>
        <sz val="11"/>
        <color theme="1"/>
        <rFont val="Calibri"/>
        <family val="2"/>
        <scheme val="minor"/>
      </rPr>
      <t xml:space="preserve">
with
</t>
    </r>
    <r>
      <rPr>
        <b/>
        <sz val="11"/>
        <color theme="1"/>
        <rFont val="Calibri"/>
        <family val="2"/>
        <scheme val="minor"/>
      </rPr>
      <t>EF_ZZ = 1,12 x 10^-4 x 1,7 x AD_ZZ x (s/1,5) x (365 x (365 - P)/235) x (I/15) x 10^3</t>
    </r>
    <r>
      <rPr>
        <sz val="11"/>
        <color theme="1"/>
        <rFont val="Calibri"/>
        <family val="2"/>
        <scheme val="minor"/>
      </rPr>
      <t xml:space="preserve">
Where : 
     Emissions_ZZ = Emissions of ZZ (t)
     Area = Exposed surface area of stockpiles (m²)
     EF_ZZ = Emission factor of ZZ from wind erosion from stockpiles (g/m²)
     s = Average silt loading of storage pile (%)
     P = Average number of days during the year with at least 0,254 mm of precipitation
     I = Percentage of time with unobstructed wind speed &gt;19,3 km/h (%)
     AD_ZZ = Aerodynamic Factor of ZZ
     ZZ = TSP or PM10 or PM2.5
The stockpiles are considered to be cones, therefore depending on the weight of the stored aggregates the exposed surface can be calculated using the following  equation:
</t>
    </r>
    <r>
      <rPr>
        <b/>
        <sz val="11"/>
        <color theme="1"/>
        <rFont val="Calibri"/>
        <family val="2"/>
        <scheme val="minor"/>
      </rPr>
      <t xml:space="preserve">
R = ( WS/D x 3 / (</t>
    </r>
    <r>
      <rPr>
        <b/>
        <sz val="11"/>
        <color theme="1"/>
        <rFont val="Calibri"/>
        <family val="2"/>
      </rPr>
      <t xml:space="preserve">π x </t>
    </r>
    <r>
      <rPr>
        <b/>
        <sz val="11"/>
        <color theme="1"/>
        <rFont val="Calibri"/>
        <family val="2"/>
        <scheme val="minor"/>
      </rPr>
      <t>Tangent(</t>
    </r>
    <r>
      <rPr>
        <b/>
        <sz val="11"/>
        <color theme="1"/>
        <rFont val="Calibri"/>
        <family val="2"/>
      </rPr>
      <t>θ</t>
    </r>
    <r>
      <rPr>
        <b/>
        <sz val="11"/>
        <color theme="1"/>
        <rFont val="Calibri"/>
        <family val="2"/>
        <scheme val="minor"/>
      </rPr>
      <t xml:space="preserve">)) )^(1/3)
A = </t>
    </r>
    <r>
      <rPr>
        <b/>
        <sz val="11"/>
        <color theme="1"/>
        <rFont val="Calibri"/>
        <family val="2"/>
      </rPr>
      <t xml:space="preserve">π x R^2 x SQRT(1 +  (Tangent(θ))^2)
</t>
    </r>
    <r>
      <rPr>
        <sz val="11"/>
        <color theme="1"/>
        <rFont val="Calibri"/>
        <family val="2"/>
      </rPr>
      <t xml:space="preserve">
Where :
     θ = Repose angle (°)</t>
    </r>
    <r>
      <rPr>
        <sz val="11"/>
        <color theme="1"/>
        <rFont val="Calibri"/>
        <family val="2"/>
        <scheme val="minor"/>
      </rPr>
      <t xml:space="preserve">
     R = Storage piles radii (m)
     H = Storage piles height (m)
     WS = Storage piles weight (t)
     D = Bulk density of the material in the piles (t/m</t>
    </r>
    <r>
      <rPr>
        <vertAlign val="superscript"/>
        <sz val="11"/>
        <color theme="1"/>
        <rFont val="Calibri"/>
        <family val="2"/>
        <scheme val="minor"/>
      </rPr>
      <t>3</t>
    </r>
    <r>
      <rPr>
        <sz val="11"/>
        <color theme="1"/>
        <rFont val="Calibri"/>
        <family val="2"/>
        <scheme val="minor"/>
      </rPr>
      <t xml:space="preserve">)
</t>
    </r>
  </si>
  <si>
    <t>Case results</t>
  </si>
  <si>
    <t>Results: Emission factor expressed in g/t and Emissions expressed in kt</t>
  </si>
  <si>
    <t>Input data: not country specific, defaults, partly French context</t>
  </si>
  <si>
    <t>Cell contains a formula/ sheet contains calculations mainly</t>
  </si>
  <si>
    <t>Country specific input data, partly French context</t>
  </si>
  <si>
    <t>default</t>
  </si>
  <si>
    <t>Check: has to be 100%</t>
  </si>
  <si>
    <t>WIND EROSION FROM STOCKPILES - pre-processing</t>
  </si>
  <si>
    <t>Work sheet: 'Data input and defaults'</t>
  </si>
  <si>
    <t>Work sheet: 'Regional data'</t>
  </si>
  <si>
    <t>This result sheet contains the 27 emission factors calculated for the 9 categories of quarries abovementioned. There are 3 emissions factors per category for each type of particles considered: TSP, PM10 and PM2.5.</t>
  </si>
  <si>
    <t>This result sheet presents the emission factors calculated for each category separated by step (and type of particles).</t>
  </si>
  <si>
    <t xml:space="preserve">In this sheet, the particulate emissions related to "drilling and blasting" are calculated.  Only 3 emission factors are calculated because the emissions are independent from the size of the quarries and only crushed rock quarries need drilling or blasting to produce aggregates.  </t>
  </si>
  <si>
    <t xml:space="preserve">In this sheet, the particulate emissions related to "material processing" are calculated. This includes emissions related to crushing, screening and transfer points. </t>
  </si>
  <si>
    <t>In this sheet, the particulate emissions related to the "internal transport" are calculated. This includes the particles emitted by dumpers when they travelled on paved and unpaved roads inside the quarry. The emissions related to tires abrasion are not included.</t>
  </si>
  <si>
    <t>In this sheet, the particulate emissions related to the "material handling operation" are calculated. This includes the particles emitted when the material is loaded and unloaded by dumpers, in and out of the stockpiles.</t>
  </si>
  <si>
    <t xml:space="preserve">In this sheet, the particulate emissions related to the "Wind erosion from stockpiles" are calculated. </t>
  </si>
  <si>
    <t>SHEETS</t>
  </si>
  <si>
    <r>
      <t xml:space="preserve">This work sheet contains all the data required to calculate the emission factors, except the regional data. </t>
    </r>
    <r>
      <rPr>
        <u/>
        <sz val="12"/>
        <rFont val="Calibri"/>
        <family val="2"/>
        <scheme val="minor"/>
      </rPr>
      <t>Please note the colour codes below.</t>
    </r>
  </si>
  <si>
    <r>
      <t xml:space="preserve">This work sheet contains all the regional data (quarries distribution, weather data…). </t>
    </r>
    <r>
      <rPr>
        <u/>
        <sz val="12"/>
        <rFont val="Calibri"/>
        <family val="2"/>
        <scheme val="minor"/>
      </rPr>
      <t>Please note the colour codes below.</t>
    </r>
  </si>
  <si>
    <r>
      <t xml:space="preserve">Region's share in </t>
    </r>
    <r>
      <rPr>
        <u/>
        <sz val="11"/>
        <color indexed="8"/>
        <rFont val="Calibri"/>
        <family val="2"/>
      </rPr>
      <t>number</t>
    </r>
    <r>
      <rPr>
        <sz val="11"/>
        <color indexed="8"/>
        <rFont val="Calibri"/>
        <family val="2"/>
      </rPr>
      <t xml:space="preserve"> of large CR quarries (%)</t>
    </r>
  </si>
  <si>
    <r>
      <t xml:space="preserve">Region's share in </t>
    </r>
    <r>
      <rPr>
        <u/>
        <sz val="11"/>
        <color indexed="8"/>
        <rFont val="Calibri"/>
        <family val="2"/>
      </rPr>
      <t>number</t>
    </r>
    <r>
      <rPr>
        <sz val="11"/>
        <color indexed="8"/>
        <rFont val="Calibri"/>
        <family val="2"/>
      </rPr>
      <t xml:space="preserve"> of medium CR quarries (%)</t>
    </r>
  </si>
  <si>
    <r>
      <t xml:space="preserve">Region's share in </t>
    </r>
    <r>
      <rPr>
        <u/>
        <sz val="11"/>
        <color indexed="8"/>
        <rFont val="Calibri"/>
        <family val="2"/>
      </rPr>
      <t>number</t>
    </r>
    <r>
      <rPr>
        <sz val="11"/>
        <color indexed="8"/>
        <rFont val="Calibri"/>
        <family val="2"/>
      </rPr>
      <t xml:space="preserve"> of small CR quarries (%)</t>
    </r>
  </si>
  <si>
    <r>
      <t xml:space="preserve">Region's share in </t>
    </r>
    <r>
      <rPr>
        <u/>
        <sz val="11"/>
        <color indexed="8"/>
        <rFont val="Calibri"/>
        <family val="2"/>
      </rPr>
      <t>production</t>
    </r>
    <r>
      <rPr>
        <sz val="11"/>
        <color indexed="8"/>
        <rFont val="Calibri"/>
        <family val="2"/>
      </rPr>
      <t xml:space="preserve"> of large CR quarries (%)</t>
    </r>
  </si>
  <si>
    <r>
      <t xml:space="preserve">Region's share in </t>
    </r>
    <r>
      <rPr>
        <u/>
        <sz val="11"/>
        <color indexed="8"/>
        <rFont val="Calibri"/>
        <family val="2"/>
      </rPr>
      <t>production</t>
    </r>
    <r>
      <rPr>
        <sz val="11"/>
        <color indexed="8"/>
        <rFont val="Calibri"/>
        <family val="2"/>
      </rPr>
      <t xml:space="preserve"> of medium CR quarries (%)</t>
    </r>
  </si>
  <si>
    <r>
      <t xml:space="preserve">Region's share in </t>
    </r>
    <r>
      <rPr>
        <u/>
        <sz val="11"/>
        <color indexed="8"/>
        <rFont val="Calibri"/>
        <family val="2"/>
      </rPr>
      <t>production</t>
    </r>
    <r>
      <rPr>
        <sz val="11"/>
        <color indexed="8"/>
        <rFont val="Calibri"/>
        <family val="2"/>
      </rPr>
      <t xml:space="preserve"> of small CR quarries (%)</t>
    </r>
  </si>
  <si>
    <r>
      <t xml:space="preserve">Region's share in </t>
    </r>
    <r>
      <rPr>
        <u/>
        <sz val="11"/>
        <color indexed="8"/>
        <rFont val="Calibri"/>
        <family val="2"/>
      </rPr>
      <t>number</t>
    </r>
    <r>
      <rPr>
        <sz val="11"/>
        <color indexed="8"/>
        <rFont val="Calibri"/>
        <family val="2"/>
      </rPr>
      <t xml:space="preserve"> of large SG quarries (%)</t>
    </r>
  </si>
  <si>
    <r>
      <t xml:space="preserve">Region's share in </t>
    </r>
    <r>
      <rPr>
        <u/>
        <sz val="11"/>
        <color indexed="8"/>
        <rFont val="Calibri"/>
        <family val="2"/>
      </rPr>
      <t>number</t>
    </r>
    <r>
      <rPr>
        <sz val="11"/>
        <color indexed="8"/>
        <rFont val="Calibri"/>
        <family val="2"/>
      </rPr>
      <t xml:space="preserve"> of medium SG quarries (%)</t>
    </r>
  </si>
  <si>
    <r>
      <t xml:space="preserve">Region's share in </t>
    </r>
    <r>
      <rPr>
        <u/>
        <sz val="11"/>
        <color indexed="8"/>
        <rFont val="Calibri"/>
        <family val="2"/>
      </rPr>
      <t>number</t>
    </r>
    <r>
      <rPr>
        <sz val="11"/>
        <color indexed="8"/>
        <rFont val="Calibri"/>
        <family val="2"/>
      </rPr>
      <t xml:space="preserve"> of small SG quarries (%)</t>
    </r>
  </si>
  <si>
    <r>
      <t xml:space="preserve">Region's share in </t>
    </r>
    <r>
      <rPr>
        <u/>
        <sz val="11"/>
        <color indexed="8"/>
        <rFont val="Calibri"/>
        <family val="2"/>
      </rPr>
      <t>production</t>
    </r>
    <r>
      <rPr>
        <sz val="11"/>
        <color indexed="8"/>
        <rFont val="Calibri"/>
        <family val="2"/>
      </rPr>
      <t xml:space="preserve"> of large SG quarries (%)</t>
    </r>
  </si>
  <si>
    <r>
      <t xml:space="preserve">Region's share in </t>
    </r>
    <r>
      <rPr>
        <u/>
        <sz val="11"/>
        <color indexed="8"/>
        <rFont val="Calibri"/>
        <family val="2"/>
      </rPr>
      <t>production</t>
    </r>
    <r>
      <rPr>
        <sz val="11"/>
        <color indexed="8"/>
        <rFont val="Calibri"/>
        <family val="2"/>
      </rPr>
      <t xml:space="preserve"> of medium SG quarries (%)</t>
    </r>
  </si>
  <si>
    <r>
      <t xml:space="preserve">Region's share in </t>
    </r>
    <r>
      <rPr>
        <u/>
        <sz val="11"/>
        <color indexed="8"/>
        <rFont val="Calibri"/>
        <family val="2"/>
      </rPr>
      <t>production</t>
    </r>
    <r>
      <rPr>
        <sz val="11"/>
        <color indexed="8"/>
        <rFont val="Calibri"/>
        <family val="2"/>
      </rPr>
      <t xml:space="preserve"> of small SG quarries (%)</t>
    </r>
  </si>
  <si>
    <r>
      <t xml:space="preserve">Region's share in </t>
    </r>
    <r>
      <rPr>
        <u/>
        <sz val="11"/>
        <color indexed="8"/>
        <rFont val="Calibri"/>
        <family val="2"/>
      </rPr>
      <t>number</t>
    </r>
    <r>
      <rPr>
        <sz val="11"/>
        <color indexed="8"/>
        <rFont val="Calibri"/>
        <family val="2"/>
      </rPr>
      <t xml:space="preserve"> of large RA quarries (%)</t>
    </r>
  </si>
  <si>
    <r>
      <t xml:space="preserve">Region's share in </t>
    </r>
    <r>
      <rPr>
        <u/>
        <sz val="11"/>
        <color indexed="8"/>
        <rFont val="Calibri"/>
        <family val="2"/>
      </rPr>
      <t>number</t>
    </r>
    <r>
      <rPr>
        <sz val="11"/>
        <color indexed="8"/>
        <rFont val="Calibri"/>
        <family val="2"/>
      </rPr>
      <t xml:space="preserve"> of medium RA quarries (%)</t>
    </r>
  </si>
  <si>
    <r>
      <t xml:space="preserve">Region's share in </t>
    </r>
    <r>
      <rPr>
        <u/>
        <sz val="11"/>
        <color indexed="8"/>
        <rFont val="Calibri"/>
        <family val="2"/>
      </rPr>
      <t>number</t>
    </r>
    <r>
      <rPr>
        <sz val="11"/>
        <color indexed="8"/>
        <rFont val="Calibri"/>
        <family val="2"/>
      </rPr>
      <t xml:space="preserve"> of small RA quarries (%)</t>
    </r>
  </si>
  <si>
    <r>
      <t xml:space="preserve">Region's share in </t>
    </r>
    <r>
      <rPr>
        <u/>
        <sz val="11"/>
        <color indexed="8"/>
        <rFont val="Calibri"/>
        <family val="2"/>
      </rPr>
      <t>production</t>
    </r>
    <r>
      <rPr>
        <sz val="11"/>
        <color indexed="8"/>
        <rFont val="Calibri"/>
        <family val="2"/>
      </rPr>
      <t xml:space="preserve"> of large RA quarries (%)</t>
    </r>
  </si>
  <si>
    <r>
      <t xml:space="preserve">Region's share in </t>
    </r>
    <r>
      <rPr>
        <u/>
        <sz val="11"/>
        <color indexed="8"/>
        <rFont val="Calibri"/>
        <family val="2"/>
      </rPr>
      <t>production</t>
    </r>
    <r>
      <rPr>
        <sz val="11"/>
        <color indexed="8"/>
        <rFont val="Calibri"/>
        <family val="2"/>
      </rPr>
      <t xml:space="preserve"> of medium RA quarries (%)</t>
    </r>
  </si>
  <si>
    <r>
      <t xml:space="preserve">Region's share in </t>
    </r>
    <r>
      <rPr>
        <u/>
        <sz val="11"/>
        <color indexed="8"/>
        <rFont val="Calibri"/>
        <family val="2"/>
      </rPr>
      <t>production</t>
    </r>
    <r>
      <rPr>
        <sz val="11"/>
        <color indexed="8"/>
        <rFont val="Calibri"/>
        <family val="2"/>
      </rPr>
      <t xml:space="preserve"> of small RA quarries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</si>
</sst>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
    <numFmt numFmtId="165" formatCode="0.000000"/>
    <numFmt numFmtId="166" formatCode="0.00000"/>
    <numFmt numFmtId="167" formatCode="0.0000"/>
    <numFmt numFmtId="168" formatCode="0.000"/>
    <numFmt numFmtId="169" formatCode="0.0"/>
    <numFmt numFmtId="170" formatCode="#,##0.0"/>
    <numFmt numFmtId="171" formatCode="\-"/>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rgb="FFFF0000"/>
      <name val="Calibri"/>
      <family val="2"/>
      <scheme val="minor"/>
    </font>
    <font>
      <b/>
      <sz val="11"/>
      <name val="Calibri"/>
      <family val="2"/>
      <scheme val="minor"/>
    </font>
    <font>
      <sz val="10"/>
      <color indexed="8"/>
      <name val="Arial"/>
      <family val="2"/>
    </font>
    <font>
      <sz val="11"/>
      <color indexed="8"/>
      <name val="Calibri"/>
      <family val="2"/>
    </font>
    <font>
      <sz val="12"/>
      <color theme="1"/>
      <name val="Arial"/>
      <family val="2"/>
    </font>
    <font>
      <sz val="9"/>
      <color indexed="81"/>
      <name val="Tahoma"/>
      <family val="2"/>
    </font>
    <font>
      <b/>
      <sz val="9"/>
      <color indexed="81"/>
      <name val="Tahoma"/>
      <family val="2"/>
    </font>
    <font>
      <u/>
      <sz val="11"/>
      <color theme="1"/>
      <name val="Calibri"/>
      <family val="2"/>
      <scheme val="minor"/>
    </font>
    <font>
      <sz val="11"/>
      <color theme="1"/>
      <name val="Calibri"/>
      <family val="2"/>
    </font>
    <font>
      <b/>
      <sz val="11"/>
      <color theme="1"/>
      <name val="Calibri"/>
      <family val="2"/>
    </font>
    <font>
      <sz val="11"/>
      <name val="Calibri"/>
      <family val="2"/>
      <scheme val="minor"/>
    </font>
    <font>
      <sz val="10"/>
      <name val="Arial"/>
      <family val="2"/>
    </font>
    <font>
      <sz val="10"/>
      <name val="Calibri"/>
      <family val="2"/>
      <scheme val="minor"/>
    </font>
    <font>
      <sz val="12"/>
      <name val="Calibri"/>
      <family val="2"/>
      <scheme val="minor"/>
    </font>
    <font>
      <b/>
      <sz val="12"/>
      <name val="Calibri"/>
      <family val="2"/>
      <scheme val="minor"/>
    </font>
    <font>
      <sz val="11"/>
      <color theme="0"/>
      <name val="Calibri"/>
      <family val="2"/>
      <scheme val="minor"/>
    </font>
    <font>
      <vertAlign val="superscript"/>
      <sz val="11"/>
      <color theme="1"/>
      <name val="Calibri"/>
      <family val="2"/>
      <scheme val="minor"/>
    </font>
    <font>
      <i/>
      <sz val="12"/>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sz val="11"/>
      <color rgb="FFFF0000"/>
      <name val="Calibri"/>
      <family val="2"/>
      <scheme val="minor"/>
    </font>
    <font>
      <u/>
      <sz val="12"/>
      <name val="Calibri"/>
      <family val="2"/>
      <scheme val="minor"/>
    </font>
    <font>
      <u/>
      <sz val="11"/>
      <color indexed="8"/>
      <name val="Calibri"/>
      <family val="2"/>
    </font>
  </fonts>
  <fills count="17">
    <fill>
      <patternFill patternType="none"/>
    </fill>
    <fill>
      <patternFill patternType="gray125"/>
    </fill>
    <fill>
      <patternFill patternType="solid">
        <fgColor rgb="FFFF0000"/>
        <bgColor indexed="64"/>
      </patternFill>
    </fill>
    <fill>
      <patternFill patternType="solid">
        <fgColor rgb="FFFF99CC"/>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3" tint="0.79998168889431442"/>
        <bgColor indexed="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0"/>
      </patternFill>
    </fill>
    <fill>
      <patternFill patternType="solid">
        <fgColor rgb="FFFFFF00"/>
        <bgColor auto="1"/>
      </patternFill>
    </fill>
  </fills>
  <borders count="96">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double">
        <color indexed="64"/>
      </right>
      <top/>
      <bottom/>
      <diagonal/>
    </border>
    <border>
      <left style="thin">
        <color indexed="8"/>
      </left>
      <right style="double">
        <color indexed="64"/>
      </right>
      <top style="thin">
        <color indexed="8"/>
      </top>
      <bottom style="thin">
        <color indexed="8"/>
      </bottom>
      <diagonal/>
    </border>
    <border>
      <left/>
      <right/>
      <top style="double">
        <color indexed="64"/>
      </top>
      <bottom/>
      <diagonal/>
    </border>
    <border>
      <left style="double">
        <color indexed="64"/>
      </left>
      <right/>
      <top style="double">
        <color indexed="64"/>
      </top>
      <bottom style="thin">
        <color indexed="8"/>
      </bottom>
      <diagonal/>
    </border>
    <border>
      <left style="double">
        <color indexed="64"/>
      </left>
      <right/>
      <top style="thin">
        <color indexed="8"/>
      </top>
      <bottom style="thin">
        <color indexed="8"/>
      </bottom>
      <diagonal/>
    </border>
    <border>
      <left style="double">
        <color indexed="64"/>
      </left>
      <right/>
      <top style="thin">
        <color indexed="8"/>
      </top>
      <bottom style="double">
        <color indexed="64"/>
      </bottom>
      <diagonal/>
    </border>
    <border>
      <left/>
      <right/>
      <top style="double">
        <color indexed="64"/>
      </top>
      <bottom style="thin">
        <color indexed="8"/>
      </bottom>
      <diagonal/>
    </border>
    <border>
      <left/>
      <right style="double">
        <color indexed="64"/>
      </right>
      <top style="double">
        <color indexed="64"/>
      </top>
      <bottom style="thin">
        <color indexed="8"/>
      </bottom>
      <diagonal/>
    </border>
    <border>
      <left style="double">
        <color indexed="64"/>
      </left>
      <right style="thin">
        <color indexed="8"/>
      </right>
      <top style="thin">
        <color indexed="8"/>
      </top>
      <bottom style="thin">
        <color indexed="8"/>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double">
        <color indexed="64"/>
      </left>
      <right style="double">
        <color indexed="64"/>
      </right>
      <top style="double">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n">
        <color indexed="8"/>
      </bottom>
      <diagonal/>
    </border>
    <border>
      <left style="double">
        <color indexed="64"/>
      </left>
      <right style="double">
        <color indexed="64"/>
      </right>
      <top style="thin">
        <color indexed="8"/>
      </top>
      <bottom style="double">
        <color indexed="64"/>
      </bottom>
      <diagonal/>
    </border>
    <border>
      <left style="double">
        <color indexed="64"/>
      </left>
      <right style="double">
        <color indexed="64"/>
      </right>
      <top style="thin">
        <color indexed="8"/>
      </top>
      <bottom style="thin">
        <color indexed="8"/>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8"/>
      </right>
      <top style="double">
        <color indexed="64"/>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medium">
        <color indexed="64"/>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style="double">
        <color indexed="64"/>
      </right>
      <top style="double">
        <color indexed="64"/>
      </top>
      <bottom style="thin">
        <color indexed="8"/>
      </bottom>
      <diagonal/>
    </border>
    <border>
      <left style="double">
        <color indexed="64"/>
      </left>
      <right/>
      <top style="thin">
        <color indexed="22"/>
      </top>
      <bottom style="thin">
        <color indexed="22"/>
      </bottom>
      <diagonal/>
    </border>
    <border>
      <left style="thin">
        <color indexed="22"/>
      </left>
      <right style="double">
        <color indexed="64"/>
      </right>
      <top style="thin">
        <color indexed="22"/>
      </top>
      <bottom style="thin">
        <color indexed="22"/>
      </bottom>
      <diagonal/>
    </border>
    <border>
      <left style="double">
        <color indexed="64"/>
      </left>
      <right/>
      <top style="thin">
        <color indexed="22"/>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thin">
        <color indexed="22"/>
      </right>
      <top style="thin">
        <color indexed="22"/>
      </top>
      <bottom style="double">
        <color indexed="64"/>
      </bottom>
      <diagonal/>
    </border>
    <border>
      <left style="thin">
        <color indexed="22"/>
      </left>
      <right style="double">
        <color indexed="64"/>
      </right>
      <top style="thin">
        <color indexed="22"/>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8"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7" fillId="0" borderId="0"/>
    <xf numFmtId="0" fontId="8" fillId="0" borderId="0"/>
    <xf numFmtId="0" fontId="27" fillId="0" borderId="0" applyNumberFormat="0" applyFill="0" applyBorder="0" applyAlignment="0" applyProtection="0"/>
  </cellStyleXfs>
  <cellXfs count="382">
    <xf numFmtId="0" fontId="0" fillId="0" borderId="0" xfId="0"/>
    <xf numFmtId="0" fontId="3" fillId="0" borderId="4" xfId="0" applyFont="1" applyBorder="1"/>
    <xf numFmtId="0" fontId="4" fillId="0" borderId="0" xfId="0" applyFont="1" applyBorder="1"/>
    <xf numFmtId="0" fontId="5" fillId="0" borderId="0" xfId="0" applyFont="1"/>
    <xf numFmtId="0" fontId="0" fillId="0" borderId="5" xfId="0" applyBorder="1"/>
    <xf numFmtId="0" fontId="0" fillId="0" borderId="4" xfId="0" applyBorder="1"/>
    <xf numFmtId="9" fontId="0" fillId="4" borderId="0" xfId="2" applyNumberFormat="1" applyFont="1" applyFill="1"/>
    <xf numFmtId="0" fontId="0" fillId="0" borderId="6" xfId="0" applyBorder="1"/>
    <xf numFmtId="0" fontId="0" fillId="0" borderId="7" xfId="0" applyBorder="1"/>
    <xf numFmtId="0" fontId="0" fillId="0" borderId="8" xfId="0" applyBorder="1"/>
    <xf numFmtId="0" fontId="2" fillId="0" borderId="0" xfId="0" applyFont="1" applyFill="1" applyAlignment="1"/>
    <xf numFmtId="164" fontId="0" fillId="0" borderId="0" xfId="2" applyNumberFormat="1" applyFont="1"/>
    <xf numFmtId="164" fontId="0" fillId="0" borderId="0" xfId="0" applyNumberFormat="1"/>
    <xf numFmtId="0" fontId="0" fillId="0" borderId="0" xfId="0" applyAlignment="1">
      <alignment horizontal="center"/>
    </xf>
    <xf numFmtId="0" fontId="3" fillId="0" borderId="0" xfId="0" applyFont="1"/>
    <xf numFmtId="0" fontId="0" fillId="0" borderId="0" xfId="0" applyFont="1"/>
    <xf numFmtId="0" fontId="3" fillId="0" borderId="0" xfId="0" applyFont="1" applyAlignment="1"/>
    <xf numFmtId="0" fontId="0" fillId="0" borderId="0" xfId="0" applyFill="1"/>
    <xf numFmtId="3" fontId="0" fillId="0" borderId="0" xfId="0" applyNumberFormat="1"/>
    <xf numFmtId="9" fontId="0" fillId="0" borderId="0" xfId="2" applyFont="1"/>
    <xf numFmtId="43" fontId="0" fillId="3" borderId="0" xfId="1" applyNumberFormat="1" applyFont="1" applyFill="1" applyBorder="1"/>
    <xf numFmtId="0" fontId="0" fillId="6" borderId="0" xfId="0" quotePrefix="1" applyFill="1" applyAlignment="1">
      <alignment horizontal="center"/>
    </xf>
    <xf numFmtId="167" fontId="0" fillId="6" borderId="0" xfId="0" applyNumberFormat="1" applyFill="1" applyAlignment="1">
      <alignment horizontal="center"/>
    </xf>
    <xf numFmtId="9" fontId="0" fillId="7" borderId="0" xfId="0" applyNumberFormat="1" applyFill="1" applyAlignment="1">
      <alignment horizontal="center"/>
    </xf>
    <xf numFmtId="0" fontId="0" fillId="0" borderId="0" xfId="0" applyFill="1" applyAlignment="1">
      <alignment horizontal="center"/>
    </xf>
    <xf numFmtId="0" fontId="2" fillId="0" borderId="0" xfId="0" applyFont="1" applyFill="1" applyAlignment="1">
      <alignment horizontal="left"/>
    </xf>
    <xf numFmtId="0" fontId="0" fillId="6" borderId="0" xfId="0" applyFill="1" applyAlignment="1">
      <alignment horizontal="center" vertical="center"/>
    </xf>
    <xf numFmtId="9" fontId="0" fillId="6" borderId="0" xfId="2" applyFont="1" applyFill="1" applyAlignment="1">
      <alignment horizontal="center"/>
    </xf>
    <xf numFmtId="9" fontId="0" fillId="7" borderId="0" xfId="2" applyFont="1" applyFill="1" applyAlignment="1">
      <alignment horizontal="center"/>
    </xf>
    <xf numFmtId="0" fontId="0" fillId="0" borderId="0" xfId="0" applyFill="1" applyAlignment="1">
      <alignment horizontal="center" vertical="center"/>
    </xf>
    <xf numFmtId="9" fontId="0" fillId="0" borderId="0" xfId="0" applyNumberFormat="1" applyFill="1" applyAlignment="1">
      <alignment horizontal="center"/>
    </xf>
    <xf numFmtId="0" fontId="0" fillId="0" borderId="0" xfId="0" applyAlignment="1">
      <alignment horizontal="center" vertical="center"/>
    </xf>
    <xf numFmtId="9" fontId="0" fillId="6" borderId="0" xfId="2" quotePrefix="1" applyFont="1" applyFill="1" applyAlignment="1">
      <alignment horizontal="center"/>
    </xf>
    <xf numFmtId="0" fontId="0" fillId="0" borderId="0" xfId="0" applyFont="1" applyAlignment="1">
      <alignment horizontal="left" vertical="center"/>
    </xf>
    <xf numFmtId="0" fontId="3" fillId="0" borderId="25" xfId="0" applyFont="1" applyBorder="1"/>
    <xf numFmtId="0" fontId="3" fillId="0" borderId="30" xfId="0" applyFont="1" applyBorder="1"/>
    <xf numFmtId="0" fontId="3" fillId="0" borderId="32" xfId="0" applyFont="1" applyBorder="1"/>
    <xf numFmtId="0" fontId="3" fillId="0" borderId="27" xfId="0" applyFont="1" applyBorder="1"/>
    <xf numFmtId="0" fontId="2" fillId="9" borderId="33" xfId="0" applyFont="1" applyFill="1" applyBorder="1" applyAlignment="1">
      <alignment horizontal="center" vertical="center"/>
    </xf>
    <xf numFmtId="0" fontId="7" fillId="9" borderId="34" xfId="0" applyFont="1" applyFill="1" applyBorder="1" applyAlignment="1">
      <alignment horizontal="center" vertical="center"/>
    </xf>
    <xf numFmtId="0" fontId="7" fillId="9" borderId="33" xfId="0" applyFont="1" applyFill="1" applyBorder="1" applyAlignment="1">
      <alignment horizontal="center" vertical="center"/>
    </xf>
    <xf numFmtId="9" fontId="0" fillId="6" borderId="0" xfId="2" applyFont="1" applyFill="1" applyAlignment="1">
      <alignment horizontal="center" vertical="center"/>
    </xf>
    <xf numFmtId="0" fontId="6" fillId="0" borderId="0" xfId="0" applyFont="1"/>
    <xf numFmtId="9" fontId="0" fillId="0" borderId="0" xfId="2" applyFont="1" applyFill="1" applyAlignment="1">
      <alignment horizontal="center" vertical="center"/>
    </xf>
    <xf numFmtId="9" fontId="0" fillId="7" borderId="0" xfId="2" applyFont="1" applyFill="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vertical="center"/>
    </xf>
    <xf numFmtId="2" fontId="0" fillId="0" borderId="0" xfId="0" applyNumberFormat="1"/>
    <xf numFmtId="169" fontId="0" fillId="0" borderId="0" xfId="0" applyNumberFormat="1"/>
    <xf numFmtId="0" fontId="0" fillId="0" borderId="24" xfId="0" applyBorder="1"/>
    <xf numFmtId="0" fontId="0" fillId="0" borderId="0" xfId="0" applyBorder="1"/>
    <xf numFmtId="0" fontId="0" fillId="0" borderId="0" xfId="0"/>
    <xf numFmtId="1" fontId="0" fillId="0" borderId="0" xfId="0" applyNumberFormat="1"/>
    <xf numFmtId="0" fontId="2" fillId="5" borderId="0" xfId="0" applyFont="1" applyFill="1" applyAlignment="1"/>
    <xf numFmtId="168" fontId="0" fillId="0" borderId="0" xfId="0" applyNumberFormat="1" applyBorder="1" applyAlignment="1">
      <alignment horizontal="center" vertical="center"/>
    </xf>
    <xf numFmtId="11" fontId="0" fillId="0" borderId="0" xfId="0" applyNumberFormat="1"/>
    <xf numFmtId="1" fontId="0" fillId="6" borderId="0" xfId="2" quotePrefix="1" applyNumberFormat="1" applyFont="1" applyFill="1" applyAlignment="1">
      <alignment horizontal="center"/>
    </xf>
    <xf numFmtId="2" fontId="0" fillId="3" borderId="12" xfId="0" applyNumberFormat="1" applyFill="1" applyBorder="1" applyAlignment="1">
      <alignment horizontal="center"/>
    </xf>
    <xf numFmtId="2" fontId="0" fillId="3" borderId="24" xfId="0" applyNumberFormat="1" applyFill="1" applyBorder="1" applyAlignment="1">
      <alignment horizontal="center"/>
    </xf>
    <xf numFmtId="2" fontId="0" fillId="3" borderId="25" xfId="0" applyNumberFormat="1" applyFill="1" applyBorder="1" applyAlignment="1">
      <alignment horizontal="center"/>
    </xf>
    <xf numFmtId="2" fontId="0" fillId="3" borderId="30" xfId="0" applyNumberFormat="1" applyFill="1" applyBorder="1" applyAlignment="1">
      <alignment horizontal="center"/>
    </xf>
    <xf numFmtId="43" fontId="0" fillId="3" borderId="0" xfId="1" applyNumberFormat="1" applyFont="1" applyFill="1" applyBorder="1" applyAlignment="1">
      <alignment horizontal="center"/>
    </xf>
    <xf numFmtId="43" fontId="6" fillId="0" borderId="0" xfId="0" applyNumberFormat="1" applyFont="1"/>
    <xf numFmtId="9" fontId="0" fillId="7" borderId="0" xfId="2" applyNumberFormat="1" applyFont="1" applyFill="1" applyAlignment="1">
      <alignment horizontal="center"/>
    </xf>
    <xf numFmtId="0" fontId="13" fillId="0" borderId="0" xfId="0" applyFont="1"/>
    <xf numFmtId="0" fontId="0" fillId="0" borderId="0" xfId="0" applyAlignment="1">
      <alignment vertical="top" wrapText="1"/>
    </xf>
    <xf numFmtId="0" fontId="0" fillId="0" borderId="0" xfId="0" applyAlignment="1">
      <alignment horizontal="left" vertical="top" wrapText="1"/>
    </xf>
    <xf numFmtId="43" fontId="3" fillId="0" borderId="0" xfId="1" applyNumberFormat="1" applyFont="1" applyFill="1" applyBorder="1" applyAlignment="1">
      <alignment horizontal="center" vertical="center" wrapText="1"/>
    </xf>
    <xf numFmtId="9" fontId="0" fillId="4" borderId="0" xfId="2" applyNumberFormat="1" applyFont="1" applyFill="1" applyAlignment="1">
      <alignment horizontal="right" vertical="center"/>
    </xf>
    <xf numFmtId="0" fontId="9" fillId="0" borderId="16" xfId="3" applyFont="1" applyFill="1" applyBorder="1" applyAlignment="1">
      <alignment horizontal="center" vertical="center" wrapText="1"/>
    </xf>
    <xf numFmtId="0" fontId="9" fillId="0" borderId="17" xfId="3" applyFont="1" applyFill="1" applyBorder="1" applyAlignment="1">
      <alignment horizontal="center" vertical="center" wrapText="1"/>
    </xf>
    <xf numFmtId="167" fontId="0" fillId="7" borderId="0" xfId="0" applyNumberFormat="1" applyFill="1" applyBorder="1" applyAlignment="1">
      <alignment horizontal="center" vertical="center"/>
    </xf>
    <xf numFmtId="167" fontId="0" fillId="7" borderId="12" xfId="0" applyNumberFormat="1" applyFill="1" applyBorder="1" applyAlignment="1">
      <alignment horizontal="center" vertical="center"/>
    </xf>
    <xf numFmtId="166" fontId="0" fillId="7" borderId="12" xfId="0" applyNumberFormat="1" applyFill="1" applyBorder="1" applyAlignment="1">
      <alignment horizontal="center" vertical="center"/>
    </xf>
    <xf numFmtId="167" fontId="0" fillId="7" borderId="23" xfId="0" applyNumberFormat="1" applyFill="1" applyBorder="1" applyAlignment="1">
      <alignment horizontal="center" vertical="center"/>
    </xf>
    <xf numFmtId="167" fontId="0" fillId="7" borderId="24" xfId="0" applyNumberFormat="1" applyFill="1" applyBorder="1" applyAlignment="1">
      <alignment horizontal="center" vertical="center"/>
    </xf>
    <xf numFmtId="166" fontId="0" fillId="7" borderId="24" xfId="0" applyNumberFormat="1" applyFill="1" applyBorder="1" applyAlignment="1">
      <alignment horizontal="center" vertical="center"/>
    </xf>
    <xf numFmtId="1" fontId="0" fillId="7" borderId="31" xfId="0" applyNumberFormat="1" applyFill="1" applyBorder="1" applyAlignment="1">
      <alignment horizontal="center" vertical="center"/>
    </xf>
    <xf numFmtId="1" fontId="0" fillId="7" borderId="12" xfId="0" applyNumberFormat="1" applyFill="1" applyBorder="1" applyAlignment="1">
      <alignment horizontal="center" vertical="center"/>
    </xf>
    <xf numFmtId="1" fontId="0" fillId="7" borderId="26" xfId="0" applyNumberFormat="1" applyFill="1" applyBorder="1" applyAlignment="1">
      <alignment horizontal="center" vertical="center"/>
    </xf>
    <xf numFmtId="0" fontId="9" fillId="0" borderId="63" xfId="3" applyFont="1" applyFill="1" applyBorder="1" applyAlignment="1">
      <alignment horizontal="center" vertical="center" wrapText="1"/>
    </xf>
    <xf numFmtId="0" fontId="9" fillId="0" borderId="62" xfId="3" applyFont="1" applyFill="1" applyBorder="1" applyAlignment="1">
      <alignment horizontal="center" vertical="center" wrapText="1"/>
    </xf>
    <xf numFmtId="169" fontId="0" fillId="7" borderId="35" xfId="0" applyNumberFormat="1" applyFill="1" applyBorder="1" applyAlignment="1">
      <alignment horizontal="center" vertical="center"/>
    </xf>
    <xf numFmtId="1" fontId="0" fillId="7" borderId="25" xfId="0" applyNumberFormat="1" applyFill="1" applyBorder="1" applyAlignment="1">
      <alignment horizontal="center" vertical="center"/>
    </xf>
    <xf numFmtId="164" fontId="0" fillId="7" borderId="12" xfId="2" applyNumberFormat="1" applyFont="1" applyFill="1" applyBorder="1" applyAlignment="1">
      <alignment horizontal="center" vertical="center"/>
    </xf>
    <xf numFmtId="2" fontId="9" fillId="7" borderId="25" xfId="3" applyNumberFormat="1" applyFont="1" applyFill="1" applyBorder="1" applyAlignment="1">
      <alignment horizontal="center" vertical="center" wrapText="1"/>
    </xf>
    <xf numFmtId="2" fontId="9" fillId="7" borderId="30" xfId="3" applyNumberFormat="1" applyFont="1" applyFill="1" applyBorder="1" applyAlignment="1">
      <alignment horizontal="center" vertical="center" wrapText="1"/>
    </xf>
    <xf numFmtId="2" fontId="0" fillId="7" borderId="25" xfId="0" applyNumberFormat="1" applyFont="1" applyFill="1" applyBorder="1" applyAlignment="1">
      <alignment horizontal="center"/>
    </xf>
    <xf numFmtId="2" fontId="0" fillId="7" borderId="32" xfId="0" applyNumberFormat="1" applyFont="1" applyFill="1" applyBorder="1" applyAlignment="1">
      <alignment horizontal="center"/>
    </xf>
    <xf numFmtId="2" fontId="0" fillId="7" borderId="27" xfId="0" applyNumberFormat="1" applyFont="1" applyFill="1" applyBorder="1" applyAlignment="1">
      <alignment horizontal="center"/>
    </xf>
    <xf numFmtId="0" fontId="9" fillId="11" borderId="15" xfId="3" applyFont="1" applyFill="1" applyBorder="1" applyAlignment="1">
      <alignment horizontal="center" vertical="center" wrapText="1"/>
    </xf>
    <xf numFmtId="0" fontId="9" fillId="11" borderId="50" xfId="3" applyFont="1" applyFill="1" applyBorder="1" applyAlignment="1">
      <alignment horizontal="center" vertical="center" wrapText="1"/>
    </xf>
    <xf numFmtId="0" fontId="9" fillId="11" borderId="20" xfId="3" applyFont="1" applyFill="1" applyBorder="1" applyAlignment="1">
      <alignment horizontal="center" vertical="center" wrapText="1"/>
    </xf>
    <xf numFmtId="0" fontId="9" fillId="11" borderId="9" xfId="3" applyFont="1" applyFill="1" applyBorder="1" applyAlignment="1">
      <alignment horizontal="center" vertical="center" wrapText="1"/>
    </xf>
    <xf numFmtId="0" fontId="9" fillId="11" borderId="51" xfId="3" applyFont="1" applyFill="1" applyBorder="1" applyAlignment="1">
      <alignment horizontal="center" vertical="center" wrapText="1"/>
    </xf>
    <xf numFmtId="0" fontId="9" fillId="11" borderId="46" xfId="3" applyFont="1" applyFill="1" applyBorder="1" applyAlignment="1">
      <alignment horizontal="center" vertical="center" wrapText="1"/>
    </xf>
    <xf numFmtId="0" fontId="9" fillId="11" borderId="13" xfId="3" applyFont="1" applyFill="1" applyBorder="1" applyAlignment="1">
      <alignment horizontal="center" vertical="center" wrapText="1"/>
    </xf>
    <xf numFmtId="0" fontId="9" fillId="11" borderId="10" xfId="3" applyFont="1" applyFill="1" applyBorder="1" applyAlignment="1">
      <alignment horizontal="center" vertical="center" wrapText="1"/>
    </xf>
    <xf numFmtId="0" fontId="9" fillId="11" borderId="52" xfId="3" applyFont="1" applyFill="1" applyBorder="1" applyAlignment="1">
      <alignment horizontal="center" vertical="center" wrapText="1"/>
    </xf>
    <xf numFmtId="0" fontId="9" fillId="11" borderId="61" xfId="3" applyFont="1" applyFill="1" applyBorder="1" applyAlignment="1">
      <alignment horizontal="center" vertical="center" wrapText="1"/>
    </xf>
    <xf numFmtId="0" fontId="0" fillId="9" borderId="40" xfId="0" applyFill="1" applyBorder="1" applyAlignment="1">
      <alignment horizontal="center" vertical="center" wrapText="1"/>
    </xf>
    <xf numFmtId="0" fontId="0" fillId="9" borderId="60" xfId="0" applyFill="1" applyBorder="1" applyAlignment="1">
      <alignment horizontal="center" vertical="center" wrapText="1"/>
    </xf>
    <xf numFmtId="0" fontId="0" fillId="9" borderId="58" xfId="0" applyFill="1" applyBorder="1" applyAlignment="1">
      <alignment horizontal="center" vertical="center" wrapText="1"/>
    </xf>
    <xf numFmtId="0" fontId="0" fillId="9" borderId="59" xfId="0" applyFill="1" applyBorder="1" applyAlignment="1">
      <alignment horizontal="center" vertical="center" wrapText="1"/>
    </xf>
    <xf numFmtId="0" fontId="0" fillId="9" borderId="45" xfId="0" applyFill="1" applyBorder="1" applyAlignment="1">
      <alignment horizontal="center" vertical="center" wrapText="1"/>
    </xf>
    <xf numFmtId="0" fontId="0" fillId="9" borderId="39" xfId="0" applyFill="1" applyBorder="1" applyAlignment="1">
      <alignment horizontal="center" vertical="center" wrapText="1"/>
    </xf>
    <xf numFmtId="0" fontId="0" fillId="9" borderId="41" xfId="0" applyFill="1" applyBorder="1" applyAlignment="1">
      <alignment horizontal="center" vertical="center" wrapText="1"/>
    </xf>
    <xf numFmtId="0" fontId="0" fillId="9" borderId="34" xfId="0" applyFill="1" applyBorder="1" applyAlignment="1">
      <alignment horizontal="center" vertical="center" wrapText="1"/>
    </xf>
    <xf numFmtId="0" fontId="3" fillId="0" borderId="28" xfId="0" applyFont="1" applyBorder="1"/>
    <xf numFmtId="1" fontId="0" fillId="7" borderId="0" xfId="0" applyNumberFormat="1" applyFill="1" applyBorder="1"/>
    <xf numFmtId="9" fontId="0" fillId="7" borderId="12" xfId="2" applyFont="1" applyFill="1" applyBorder="1"/>
    <xf numFmtId="1" fontId="0" fillId="7" borderId="23" xfId="0" applyNumberFormat="1" applyFill="1" applyBorder="1"/>
    <xf numFmtId="9" fontId="0" fillId="7" borderId="24" xfId="2" applyFont="1" applyFill="1" applyBorder="1"/>
    <xf numFmtId="2" fontId="0" fillId="7" borderId="0" xfId="0" applyNumberFormat="1" applyFill="1" applyBorder="1"/>
    <xf numFmtId="2" fontId="0" fillId="7" borderId="23" xfId="0" applyNumberFormat="1" applyFill="1" applyBorder="1"/>
    <xf numFmtId="9" fontId="0" fillId="7" borderId="12" xfId="2" applyNumberFormat="1" applyFont="1" applyFill="1" applyBorder="1"/>
    <xf numFmtId="43" fontId="0" fillId="3" borderId="23" xfId="1" applyNumberFormat="1" applyFont="1" applyFill="1" applyBorder="1"/>
    <xf numFmtId="9" fontId="0" fillId="7" borderId="24" xfId="2" applyNumberFormat="1" applyFont="1" applyFill="1" applyBorder="1"/>
    <xf numFmtId="0" fontId="3" fillId="0" borderId="65" xfId="0" applyFont="1" applyBorder="1"/>
    <xf numFmtId="0" fontId="3" fillId="0" borderId="64" xfId="0" applyFont="1" applyBorder="1"/>
    <xf numFmtId="0" fontId="4" fillId="0" borderId="44" xfId="0" applyFont="1" applyBorder="1"/>
    <xf numFmtId="0" fontId="3" fillId="0" borderId="66" xfId="0" applyFont="1" applyBorder="1"/>
    <xf numFmtId="0" fontId="4" fillId="0" borderId="67" xfId="0" applyFont="1" applyBorder="1"/>
    <xf numFmtId="0" fontId="3" fillId="0" borderId="68" xfId="0" applyFont="1" applyBorder="1"/>
    <xf numFmtId="0" fontId="0" fillId="0" borderId="43" xfId="0" applyBorder="1"/>
    <xf numFmtId="0" fontId="0" fillId="0" borderId="44" xfId="0" applyBorder="1"/>
    <xf numFmtId="3" fontId="0" fillId="6" borderId="0" xfId="0" applyNumberFormat="1" applyFill="1" applyAlignment="1">
      <alignment horizontal="center"/>
    </xf>
    <xf numFmtId="3" fontId="0" fillId="7" borderId="0" xfId="0" quotePrefix="1" applyNumberFormat="1" applyFill="1" applyAlignment="1">
      <alignment horizontal="center"/>
    </xf>
    <xf numFmtId="3" fontId="0" fillId="7" borderId="0" xfId="0" applyNumberFormat="1" applyFill="1" applyAlignment="1">
      <alignment horizontal="center"/>
    </xf>
    <xf numFmtId="3" fontId="0" fillId="6" borderId="0" xfId="0" quotePrefix="1" applyNumberFormat="1" applyFill="1" applyAlignment="1">
      <alignment horizontal="center"/>
    </xf>
    <xf numFmtId="3" fontId="0" fillId="7" borderId="0" xfId="0" applyNumberFormat="1" applyFill="1" applyAlignment="1">
      <alignment horizontal="center" vertical="center"/>
    </xf>
    <xf numFmtId="3" fontId="0" fillId="0" borderId="0" xfId="0" applyNumberFormat="1" applyAlignment="1">
      <alignment horizontal="center" vertical="center"/>
    </xf>
    <xf numFmtId="3" fontId="16" fillId="10" borderId="0" xfId="0" quotePrefix="1" applyNumberFormat="1" applyFont="1" applyFill="1" applyAlignment="1">
      <alignment horizontal="center" vertical="center"/>
    </xf>
    <xf numFmtId="0" fontId="0" fillId="0" borderId="0" xfId="0" applyAlignment="1">
      <alignment horizontal="center" vertical="center"/>
    </xf>
    <xf numFmtId="3" fontId="0" fillId="7" borderId="12" xfId="0" applyNumberFormat="1" applyFill="1" applyBorder="1" applyAlignment="1">
      <alignment horizontal="center" vertical="center"/>
    </xf>
    <xf numFmtId="3" fontId="0" fillId="7" borderId="25" xfId="0" applyNumberFormat="1" applyFill="1" applyBorder="1" applyAlignment="1">
      <alignment horizontal="center" vertical="center"/>
    </xf>
    <xf numFmtId="3" fontId="0" fillId="7" borderId="31" xfId="0" applyNumberFormat="1" applyFill="1" applyBorder="1" applyAlignment="1">
      <alignment horizontal="center" vertical="center"/>
    </xf>
    <xf numFmtId="3" fontId="0" fillId="7" borderId="32" xfId="0" applyNumberFormat="1" applyFill="1" applyBorder="1" applyAlignment="1">
      <alignment horizontal="center" vertical="center"/>
    </xf>
    <xf numFmtId="3" fontId="0" fillId="7" borderId="26" xfId="0" applyNumberFormat="1" applyFill="1" applyBorder="1" applyAlignment="1">
      <alignment horizontal="center" vertical="center"/>
    </xf>
    <xf numFmtId="3" fontId="0" fillId="7" borderId="0" xfId="0" applyNumberFormat="1" applyFill="1" applyBorder="1" applyAlignment="1">
      <alignment horizontal="center"/>
    </xf>
    <xf numFmtId="3" fontId="0" fillId="7" borderId="38" xfId="0" applyNumberFormat="1" applyFill="1" applyBorder="1" applyAlignment="1">
      <alignment horizontal="center"/>
    </xf>
    <xf numFmtId="3" fontId="0" fillId="7" borderId="21" xfId="0" applyNumberFormat="1" applyFill="1" applyBorder="1" applyAlignment="1">
      <alignment horizontal="center" vertical="center"/>
    </xf>
    <xf numFmtId="3" fontId="0" fillId="7" borderId="0" xfId="0" applyNumberFormat="1" applyFill="1" applyBorder="1" applyAlignment="1">
      <alignment horizontal="center" vertical="center"/>
    </xf>
    <xf numFmtId="3" fontId="0" fillId="7" borderId="22" xfId="0" applyNumberFormat="1" applyFill="1" applyBorder="1" applyAlignment="1">
      <alignment horizontal="center" vertical="center"/>
    </xf>
    <xf numFmtId="3" fontId="0" fillId="7" borderId="23" xfId="0" applyNumberFormat="1" applyFill="1" applyBorder="1" applyAlignment="1">
      <alignment horizontal="center" vertical="center"/>
    </xf>
    <xf numFmtId="3" fontId="16" fillId="0" borderId="0" xfId="0" applyNumberFormat="1" applyFont="1" applyFill="1" applyAlignment="1">
      <alignment horizontal="center"/>
    </xf>
    <xf numFmtId="0" fontId="19" fillId="0" borderId="60" xfId="0" applyFont="1" applyBorder="1" applyAlignment="1">
      <alignment horizontal="center" vertical="center"/>
    </xf>
    <xf numFmtId="0" fontId="19" fillId="0" borderId="59" xfId="0" applyFont="1" applyBorder="1" applyAlignment="1">
      <alignment horizontal="center" vertical="center"/>
    </xf>
    <xf numFmtId="0" fontId="1" fillId="0" borderId="0" xfId="0" applyFont="1"/>
    <xf numFmtId="0" fontId="20" fillId="0" borderId="0" xfId="7" applyFont="1" applyFill="1" applyBorder="1" applyAlignment="1">
      <alignment horizontal="center" vertical="center"/>
    </xf>
    <xf numFmtId="0" fontId="19" fillId="0" borderId="0" xfId="7" applyFont="1" applyFill="1" applyBorder="1" applyAlignment="1">
      <alignment horizontal="left" vertical="center"/>
    </xf>
    <xf numFmtId="0" fontId="18" fillId="0" borderId="0" xfId="7" applyFont="1" applyFill="1" applyBorder="1"/>
    <xf numFmtId="0" fontId="18" fillId="0" borderId="0" xfId="7" applyFont="1"/>
    <xf numFmtId="0" fontId="19" fillId="0" borderId="0" xfId="0" applyFont="1" applyBorder="1" applyAlignment="1">
      <alignment vertical="top" wrapText="1" shrinkToFit="1"/>
    </xf>
    <xf numFmtId="0" fontId="19" fillId="0" borderId="0" xfId="0" quotePrefix="1" applyFont="1" applyAlignment="1"/>
    <xf numFmtId="0" fontId="19" fillId="0" borderId="0" xfId="0" quotePrefix="1" applyFont="1" applyAlignment="1">
      <alignment horizontal="left"/>
    </xf>
    <xf numFmtId="0" fontId="19" fillId="0" borderId="0" xfId="0" applyFont="1" applyAlignment="1">
      <alignment wrapText="1" shrinkToFit="1"/>
    </xf>
    <xf numFmtId="0" fontId="19" fillId="0" borderId="0" xfId="0" applyFont="1"/>
    <xf numFmtId="0" fontId="20" fillId="0" borderId="39" xfId="0" applyFont="1" applyBorder="1" applyAlignment="1">
      <alignment horizontal="center" vertical="center" wrapText="1" shrinkToFit="1"/>
    </xf>
    <xf numFmtId="0" fontId="20" fillId="0" borderId="40" xfId="0" applyFont="1" applyBorder="1" applyAlignment="1">
      <alignment horizontal="center" vertical="center" wrapText="1" shrinkToFit="1"/>
    </xf>
    <xf numFmtId="0" fontId="20" fillId="0" borderId="41" xfId="0" applyFont="1" applyBorder="1" applyAlignment="1">
      <alignment horizontal="center" vertical="center" wrapText="1" shrinkToFit="1"/>
    </xf>
    <xf numFmtId="0" fontId="19" fillId="0" borderId="0"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0" xfId="0" applyFont="1" applyAlignment="1">
      <alignment horizontal="left" vertical="top" wrapText="1"/>
    </xf>
    <xf numFmtId="0" fontId="19" fillId="0" borderId="35" xfId="0" applyFont="1" applyBorder="1" applyAlignment="1">
      <alignment horizontal="center" vertical="center" shrinkToFit="1"/>
    </xf>
    <xf numFmtId="0" fontId="19" fillId="0" borderId="58" xfId="0" applyFont="1" applyBorder="1" applyAlignment="1">
      <alignment horizontal="center" vertical="center"/>
    </xf>
    <xf numFmtId="0" fontId="1" fillId="0" borderId="0" xfId="0" applyFont="1" applyFill="1"/>
    <xf numFmtId="0" fontId="18" fillId="0" borderId="0" xfId="0" applyFont="1"/>
    <xf numFmtId="0" fontId="19" fillId="0" borderId="0" xfId="0" applyFont="1" applyAlignment="1">
      <alignment horizontal="left"/>
    </xf>
    <xf numFmtId="0" fontId="0" fillId="0" borderId="0" xfId="0" applyAlignment="1">
      <alignment horizontal="left" vertical="top"/>
    </xf>
    <xf numFmtId="0" fontId="0" fillId="0" borderId="0" xfId="0" applyAlignment="1"/>
    <xf numFmtId="164" fontId="0" fillId="0" borderId="0" xfId="2" applyNumberFormat="1" applyFont="1" applyAlignment="1"/>
    <xf numFmtId="0" fontId="19" fillId="0" borderId="0" xfId="0" applyFont="1" applyAlignment="1">
      <alignment wrapText="1"/>
    </xf>
    <xf numFmtId="0" fontId="19" fillId="0" borderId="0" xfId="0" applyFont="1" applyAlignment="1">
      <alignment horizontal="left" vertical="top"/>
    </xf>
    <xf numFmtId="0" fontId="3" fillId="0" borderId="0" xfId="0" applyFont="1" applyBorder="1"/>
    <xf numFmtId="2" fontId="0" fillId="0" borderId="0" xfId="0" applyNumberFormat="1" applyFill="1" applyBorder="1" applyAlignment="1">
      <alignment horizontal="center"/>
    </xf>
    <xf numFmtId="0" fontId="6" fillId="0" borderId="0" xfId="0" applyFont="1" applyFill="1"/>
    <xf numFmtId="0" fontId="3" fillId="0" borderId="0" xfId="0" applyFont="1" applyFill="1" applyBorder="1"/>
    <xf numFmtId="3" fontId="0" fillId="7" borderId="12" xfId="0" applyNumberFormat="1" applyFont="1" applyFill="1" applyBorder="1" applyAlignment="1">
      <alignment horizontal="center" vertical="center"/>
    </xf>
    <xf numFmtId="3" fontId="0" fillId="7" borderId="25" xfId="0" applyNumberFormat="1" applyFont="1" applyFill="1" applyBorder="1" applyAlignment="1">
      <alignment horizontal="center" vertical="center"/>
    </xf>
    <xf numFmtId="3" fontId="0" fillId="7" borderId="31" xfId="0" applyNumberFormat="1" applyFont="1" applyFill="1" applyBorder="1" applyAlignment="1">
      <alignment horizontal="center" vertical="center"/>
    </xf>
    <xf numFmtId="3" fontId="0" fillId="7" borderId="32" xfId="0" applyNumberFormat="1" applyFont="1" applyFill="1" applyBorder="1" applyAlignment="1">
      <alignment horizontal="center" vertical="center"/>
    </xf>
    <xf numFmtId="3" fontId="0" fillId="7" borderId="26" xfId="0" applyNumberFormat="1" applyFont="1" applyFill="1" applyBorder="1" applyAlignment="1">
      <alignment horizontal="center" vertical="center"/>
    </xf>
    <xf numFmtId="164" fontId="1" fillId="7" borderId="12" xfId="2" applyNumberFormat="1" applyFont="1" applyFill="1" applyBorder="1" applyAlignment="1">
      <alignment horizontal="center" vertical="center"/>
    </xf>
    <xf numFmtId="2" fontId="0" fillId="3" borderId="12" xfId="0" applyNumberFormat="1" applyFont="1" applyFill="1" applyBorder="1" applyAlignment="1">
      <alignment horizontal="center"/>
    </xf>
    <xf numFmtId="2" fontId="0" fillId="3" borderId="24" xfId="0" applyNumberFormat="1" applyFont="1" applyFill="1" applyBorder="1" applyAlignment="1">
      <alignment horizontal="center"/>
    </xf>
    <xf numFmtId="0" fontId="0" fillId="0" borderId="0" xfId="0" applyFill="1" applyBorder="1"/>
    <xf numFmtId="0" fontId="2" fillId="0" borderId="0" xfId="0" applyFont="1" applyFill="1" applyBorder="1" applyAlignment="1">
      <alignment vertical="center"/>
    </xf>
    <xf numFmtId="0" fontId="7" fillId="0" borderId="0" xfId="0" applyFont="1" applyFill="1" applyBorder="1" applyAlignment="1">
      <alignment horizontal="center" vertical="center"/>
    </xf>
    <xf numFmtId="169" fontId="0" fillId="7" borderId="0" xfId="0" applyNumberFormat="1" applyFill="1" applyAlignment="1">
      <alignment horizontal="center" vertical="center"/>
    </xf>
    <xf numFmtId="3" fontId="0" fillId="7" borderId="36" xfId="0" applyNumberFormat="1" applyFont="1" applyFill="1" applyBorder="1" applyAlignment="1">
      <alignment horizontal="center"/>
    </xf>
    <xf numFmtId="3" fontId="0" fillId="7" borderId="35" xfId="0" applyNumberFormat="1" applyFill="1" applyBorder="1" applyAlignment="1">
      <alignment horizontal="center" vertical="center"/>
    </xf>
    <xf numFmtId="3" fontId="0" fillId="7" borderId="37" xfId="0" applyNumberForma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70" fontId="0" fillId="7" borderId="35" xfId="0" applyNumberFormat="1" applyFill="1" applyBorder="1" applyAlignment="1">
      <alignment horizontal="center"/>
    </xf>
    <xf numFmtId="170" fontId="0" fillId="7" borderId="0" xfId="0" applyNumberFormat="1" applyFill="1" applyBorder="1" applyAlignment="1">
      <alignment horizontal="center"/>
    </xf>
    <xf numFmtId="3" fontId="0" fillId="7" borderId="54" xfId="0" applyNumberFormat="1" applyFill="1" applyBorder="1" applyAlignment="1">
      <alignment horizontal="center" vertical="center"/>
    </xf>
    <xf numFmtId="170" fontId="0" fillId="7" borderId="0" xfId="0" applyNumberFormat="1" applyFill="1" applyBorder="1" applyAlignment="1">
      <alignment horizontal="center" vertical="center"/>
    </xf>
    <xf numFmtId="170" fontId="0" fillId="7" borderId="23" xfId="0" applyNumberFormat="1" applyFill="1" applyBorder="1" applyAlignment="1">
      <alignment horizontal="center" vertical="center"/>
    </xf>
    <xf numFmtId="0" fontId="0" fillId="9" borderId="0" xfId="0" applyFill="1" applyBorder="1" applyAlignment="1">
      <alignment horizontal="center" vertical="center" wrapText="1"/>
    </xf>
    <xf numFmtId="3" fontId="0" fillId="7" borderId="56" xfId="0" applyNumberFormat="1" applyFill="1" applyBorder="1" applyAlignment="1">
      <alignment horizontal="center" vertical="center"/>
    </xf>
    <xf numFmtId="3" fontId="0" fillId="7" borderId="55" xfId="0" applyNumberFormat="1" applyFill="1" applyBorder="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top"/>
    </xf>
    <xf numFmtId="0" fontId="16" fillId="0" borderId="0" xfId="0" applyFont="1"/>
    <xf numFmtId="0" fontId="0" fillId="0" borderId="0" xfId="0" applyAlignment="1">
      <alignment horizontal="center" vertical="center"/>
    </xf>
    <xf numFmtId="166" fontId="0" fillId="0" borderId="0" xfId="0" applyNumberFormat="1"/>
    <xf numFmtId="9" fontId="0" fillId="0" borderId="0" xfId="2" applyFont="1" applyFill="1" applyAlignment="1">
      <alignment horizontal="center"/>
    </xf>
    <xf numFmtId="2" fontId="6" fillId="0" borderId="0" xfId="0" applyNumberFormat="1" applyFont="1"/>
    <xf numFmtId="0" fontId="3" fillId="0" borderId="84" xfId="0" applyFont="1" applyBorder="1"/>
    <xf numFmtId="0" fontId="0" fillId="12" borderId="0" xfId="0" applyFill="1" applyAlignment="1">
      <alignment horizontal="center"/>
    </xf>
    <xf numFmtId="167" fontId="0" fillId="12" borderId="0" xfId="0" applyNumberFormat="1" applyFill="1" applyAlignment="1">
      <alignment horizontal="center"/>
    </xf>
    <xf numFmtId="165" fontId="0" fillId="12" borderId="0" xfId="0" applyNumberFormat="1" applyFill="1" applyAlignment="1">
      <alignment horizontal="center"/>
    </xf>
    <xf numFmtId="0" fontId="0" fillId="12" borderId="0" xfId="0" applyFill="1" applyAlignment="1">
      <alignment horizontal="center" vertical="center"/>
    </xf>
    <xf numFmtId="3" fontId="0" fillId="0" borderId="0" xfId="0" applyNumberFormat="1" applyFill="1" applyBorder="1"/>
    <xf numFmtId="3" fontId="0" fillId="0" borderId="0" xfId="0" quotePrefix="1" applyNumberFormat="1" applyFill="1" applyBorder="1" applyAlignment="1">
      <alignment horizontal="center"/>
    </xf>
    <xf numFmtId="3" fontId="0" fillId="4" borderId="0" xfId="0" quotePrefix="1" applyNumberFormat="1" applyFill="1" applyBorder="1" applyAlignment="1">
      <alignment horizontal="center"/>
    </xf>
    <xf numFmtId="171" fontId="0" fillId="0" borderId="0" xfId="0" applyNumberFormat="1" applyAlignment="1">
      <alignment horizontal="center"/>
    </xf>
    <xf numFmtId="0" fontId="0" fillId="0" borderId="54" xfId="0" applyBorder="1"/>
    <xf numFmtId="0" fontId="0" fillId="0" borderId="58" xfId="0" applyBorder="1"/>
    <xf numFmtId="3" fontId="0" fillId="7" borderId="53" xfId="0" applyNumberFormat="1" applyFill="1" applyBorder="1"/>
    <xf numFmtId="3" fontId="0" fillId="7" borderId="57" xfId="0" applyNumberFormat="1" applyFill="1" applyBorder="1"/>
    <xf numFmtId="49" fontId="0" fillId="0" borderId="0" xfId="0" applyNumberFormat="1"/>
    <xf numFmtId="0" fontId="0" fillId="0" borderId="0" xfId="0" quotePrefix="1"/>
    <xf numFmtId="9" fontId="0" fillId="0" borderId="0" xfId="2" quotePrefix="1" applyFont="1" applyFill="1" applyAlignment="1">
      <alignment horizontal="center" vertical="center"/>
    </xf>
    <xf numFmtId="169" fontId="0" fillId="12" borderId="0" xfId="0" applyNumberFormat="1" applyFill="1" applyAlignment="1">
      <alignment horizontal="center"/>
    </xf>
    <xf numFmtId="1" fontId="0" fillId="12" borderId="0" xfId="0" applyNumberFormat="1" applyFill="1" applyAlignment="1">
      <alignment horizontal="center"/>
    </xf>
    <xf numFmtId="1" fontId="0" fillId="0" borderId="12" xfId="0" applyNumberFormat="1" applyFill="1" applyBorder="1"/>
    <xf numFmtId="0" fontId="9" fillId="0" borderId="81" xfId="4" applyFont="1" applyFill="1" applyBorder="1" applyAlignment="1">
      <alignment horizontal="right" wrapText="1"/>
    </xf>
    <xf numFmtId="169" fontId="0" fillId="7" borderId="31" xfId="0" applyNumberFormat="1" applyFill="1" applyBorder="1" applyAlignment="1">
      <alignment horizontal="center" vertical="center"/>
    </xf>
    <xf numFmtId="169" fontId="0" fillId="7" borderId="25" xfId="0" applyNumberFormat="1" applyFill="1" applyBorder="1" applyAlignment="1">
      <alignment horizontal="center" vertical="center"/>
    </xf>
    <xf numFmtId="169" fontId="0" fillId="7" borderId="26" xfId="0" applyNumberFormat="1" applyFill="1" applyBorder="1" applyAlignment="1">
      <alignment horizontal="center" vertical="center"/>
    </xf>
    <xf numFmtId="169" fontId="0" fillId="7" borderId="12" xfId="0" applyNumberFormat="1" applyFill="1" applyBorder="1" applyAlignment="1">
      <alignment horizontal="center" vertical="center"/>
    </xf>
    <xf numFmtId="0" fontId="2" fillId="0" borderId="0" xfId="0" applyFont="1" applyFill="1" applyAlignment="1">
      <alignment horizontal="center"/>
    </xf>
    <xf numFmtId="0" fontId="9" fillId="0" borderId="0" xfId="13" applyFont="1" applyFill="1" applyBorder="1" applyAlignment="1">
      <alignment horizontal="center"/>
    </xf>
    <xf numFmtId="0" fontId="9" fillId="0" borderId="0" xfId="13" applyFont="1" applyFill="1" applyBorder="1" applyAlignment="1">
      <alignment horizontal="right" wrapText="1"/>
    </xf>
    <xf numFmtId="0" fontId="19" fillId="0" borderId="0" xfId="0" applyFont="1" applyAlignment="1">
      <alignment horizontal="left" vertical="top"/>
    </xf>
    <xf numFmtId="0" fontId="0" fillId="7" borderId="0" xfId="0" applyFill="1" applyBorder="1" applyAlignment="1">
      <alignment horizont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quotePrefix="1" applyFont="1" applyAlignment="1">
      <alignment horizontal="left"/>
    </xf>
    <xf numFmtId="0" fontId="23" fillId="0" borderId="0" xfId="0" quotePrefix="1" applyFont="1" applyAlignment="1">
      <alignment horizontal="right"/>
    </xf>
    <xf numFmtId="0" fontId="24" fillId="0" borderId="0" xfId="0" applyFont="1"/>
    <xf numFmtId="0" fontId="0" fillId="13" borderId="0" xfId="0" applyFill="1"/>
    <xf numFmtId="0" fontId="0" fillId="13" borderId="0" xfId="0" applyFill="1" applyAlignment="1">
      <alignment horizontal="center"/>
    </xf>
    <xf numFmtId="43" fontId="0" fillId="13" borderId="0" xfId="0" applyNumberFormat="1" applyFill="1"/>
    <xf numFmtId="9" fontId="0" fillId="7" borderId="25" xfId="2" applyFont="1" applyFill="1" applyBorder="1" applyAlignment="1">
      <alignment horizontal="center" vertical="center"/>
    </xf>
    <xf numFmtId="9" fontId="0" fillId="7" borderId="30" xfId="2" applyFont="1" applyFill="1" applyBorder="1" applyAlignment="1">
      <alignment horizontal="center" vertical="center"/>
    </xf>
    <xf numFmtId="3" fontId="0" fillId="7" borderId="38" xfId="0" applyNumberFormat="1" applyFill="1" applyBorder="1" applyAlignment="1">
      <alignment horizontal="center" vertical="center"/>
    </xf>
    <xf numFmtId="3" fontId="0" fillId="7" borderId="24" xfId="0" applyNumberFormat="1" applyFill="1" applyBorder="1" applyAlignment="1">
      <alignment horizontal="center" vertical="center"/>
    </xf>
    <xf numFmtId="3" fontId="0" fillId="7" borderId="36" xfId="0" applyNumberFormat="1" applyFill="1" applyBorder="1" applyAlignment="1">
      <alignment horizontal="center" vertical="center"/>
    </xf>
    <xf numFmtId="43" fontId="0" fillId="0" borderId="0" xfId="0" applyNumberFormat="1"/>
    <xf numFmtId="0" fontId="19" fillId="0" borderId="0" xfId="0" applyFont="1" applyAlignment="1">
      <alignment horizontal="left" vertical="top"/>
    </xf>
    <xf numFmtId="0" fontId="0" fillId="14" borderId="0" xfId="0" applyFill="1"/>
    <xf numFmtId="169" fontId="0" fillId="6" borderId="0" xfId="2" applyNumberFormat="1" applyFont="1" applyFill="1" applyAlignment="1">
      <alignment horizontal="center" vertical="center"/>
    </xf>
    <xf numFmtId="1" fontId="0" fillId="0" borderId="0" xfId="0" applyNumberFormat="1" applyFill="1" applyBorder="1"/>
    <xf numFmtId="0" fontId="21" fillId="0" borderId="0" xfId="0" applyFont="1"/>
    <xf numFmtId="0" fontId="21" fillId="0" borderId="0" xfId="0" applyFont="1" applyFill="1"/>
    <xf numFmtId="0" fontId="5" fillId="0" borderId="0" xfId="0" applyFont="1" applyBorder="1"/>
    <xf numFmtId="9" fontId="0" fillId="4" borderId="0" xfId="2" applyNumberFormat="1" applyFont="1" applyFill="1" applyBorder="1"/>
    <xf numFmtId="0" fontId="0" fillId="0" borderId="89" xfId="0" applyBorder="1"/>
    <xf numFmtId="0" fontId="3" fillId="0" borderId="91" xfId="0" applyFont="1" applyBorder="1"/>
    <xf numFmtId="0" fontId="0" fillId="0" borderId="92" xfId="0" applyBorder="1"/>
    <xf numFmtId="0" fontId="0" fillId="0" borderId="91" xfId="0" applyBorder="1"/>
    <xf numFmtId="0" fontId="0" fillId="0" borderId="93" xfId="0" applyBorder="1"/>
    <xf numFmtId="0" fontId="0" fillId="0" borderId="94" xfId="0" applyBorder="1"/>
    <xf numFmtId="0" fontId="0" fillId="0" borderId="95" xfId="0" applyBorder="1"/>
    <xf numFmtId="9" fontId="0" fillId="6" borderId="0" xfId="2" applyNumberFormat="1" applyFont="1" applyFill="1" applyAlignment="1">
      <alignment horizontal="center"/>
    </xf>
    <xf numFmtId="2" fontId="0" fillId="7" borderId="0" xfId="0" applyNumberFormat="1" applyFill="1" applyAlignment="1">
      <alignment horizontal="center" vertical="center"/>
    </xf>
    <xf numFmtId="9" fontId="0" fillId="7" borderId="0" xfId="2" quotePrefix="1" applyFont="1" applyFill="1" applyAlignment="1">
      <alignment horizontal="center"/>
    </xf>
    <xf numFmtId="0" fontId="0" fillId="7" borderId="0" xfId="0" applyFill="1" applyAlignment="1">
      <alignment horizontal="center" vertical="center"/>
    </xf>
    <xf numFmtId="164" fontId="0" fillId="7" borderId="0" xfId="2" applyNumberFormat="1" applyFont="1" applyFill="1" applyAlignment="1">
      <alignment horizontal="center" vertical="center"/>
    </xf>
    <xf numFmtId="164" fontId="0" fillId="12" borderId="0" xfId="2" applyNumberFormat="1" applyFont="1" applyFill="1" applyAlignment="1">
      <alignment horizontal="center" vertical="center"/>
    </xf>
    <xf numFmtId="9" fontId="0" fillId="12" borderId="0" xfId="2" applyFont="1" applyFill="1" applyAlignment="1">
      <alignment horizontal="center" vertical="center"/>
    </xf>
    <xf numFmtId="0" fontId="0" fillId="0" borderId="0" xfId="0" applyBorder="1" applyAlignment="1">
      <alignment horizontal="right"/>
    </xf>
    <xf numFmtId="9" fontId="0" fillId="0" borderId="0" xfId="0" applyNumberFormat="1" applyBorder="1" applyAlignment="1">
      <alignment horizontal="center"/>
    </xf>
    <xf numFmtId="0" fontId="9" fillId="6" borderId="74" xfId="5" applyFont="1" applyFill="1" applyBorder="1" applyAlignment="1">
      <alignment horizontal="center" vertical="center" wrapText="1"/>
    </xf>
    <xf numFmtId="164" fontId="9" fillId="6" borderId="48" xfId="2" applyNumberFormat="1" applyFont="1" applyFill="1" applyBorder="1" applyAlignment="1">
      <alignment horizontal="center" vertical="center" wrapText="1"/>
    </xf>
    <xf numFmtId="164" fontId="9" fillId="6" borderId="48" xfId="2" applyNumberFormat="1" applyFont="1" applyFill="1" applyBorder="1" applyAlignment="1">
      <alignment horizontal="right" wrapText="1"/>
    </xf>
    <xf numFmtId="0" fontId="9" fillId="6" borderId="76" xfId="5" applyFont="1" applyFill="1" applyBorder="1" applyAlignment="1">
      <alignment horizontal="center" vertical="center" wrapText="1"/>
    </xf>
    <xf numFmtId="164" fontId="9" fillId="6" borderId="77" xfId="2" applyNumberFormat="1" applyFont="1" applyFill="1" applyBorder="1" applyAlignment="1">
      <alignment horizontal="right" wrapText="1"/>
    </xf>
    <xf numFmtId="0" fontId="26" fillId="6" borderId="0" xfId="0" applyFont="1" applyFill="1" applyAlignment="1">
      <alignment horizontal="center" vertical="center"/>
    </xf>
    <xf numFmtId="0" fontId="3" fillId="7" borderId="0" xfId="0" applyFont="1" applyFill="1" applyAlignment="1">
      <alignment horizontal="center" vertical="center" wrapText="1"/>
    </xf>
    <xf numFmtId="0" fontId="25" fillId="7" borderId="0" xfId="0" applyFont="1" applyFill="1" applyAlignment="1">
      <alignment horizontal="center" vertical="center"/>
    </xf>
    <xf numFmtId="0" fontId="9" fillId="15" borderId="15" xfId="3" applyFont="1" applyFill="1" applyBorder="1" applyAlignment="1">
      <alignment horizontal="center" vertical="center" wrapText="1"/>
    </xf>
    <xf numFmtId="0" fontId="9" fillId="15" borderId="69" xfId="3" applyFont="1" applyFill="1" applyBorder="1" applyAlignment="1">
      <alignment horizontal="center" vertical="center" wrapText="1"/>
    </xf>
    <xf numFmtId="0" fontId="9" fillId="15" borderId="70" xfId="3" applyFont="1" applyFill="1" applyBorder="1" applyAlignment="1">
      <alignment horizontal="center" vertical="center" wrapText="1"/>
    </xf>
    <xf numFmtId="0" fontId="9" fillId="15" borderId="71" xfId="3" applyFont="1" applyFill="1" applyBorder="1" applyAlignment="1">
      <alignment horizontal="center" vertical="center" wrapText="1"/>
    </xf>
    <xf numFmtId="0" fontId="9" fillId="15" borderId="72" xfId="3" applyFont="1" applyFill="1" applyBorder="1" applyAlignment="1">
      <alignment horizontal="center" vertical="center" wrapText="1"/>
    </xf>
    <xf numFmtId="0" fontId="9" fillId="15" borderId="73" xfId="4" applyFont="1" applyFill="1" applyBorder="1" applyAlignment="1">
      <alignment horizontal="center" vertical="center" wrapText="1"/>
    </xf>
    <xf numFmtId="2" fontId="9" fillId="6" borderId="47" xfId="5" applyNumberFormat="1" applyFont="1" applyFill="1" applyBorder="1" applyAlignment="1">
      <alignment horizontal="center" wrapText="1"/>
    </xf>
    <xf numFmtId="1" fontId="9" fillId="6" borderId="11" xfId="6" applyNumberFormat="1" applyFont="1" applyFill="1" applyBorder="1" applyAlignment="1">
      <alignment horizontal="center" wrapText="1"/>
    </xf>
    <xf numFmtId="169" fontId="9" fillId="6" borderId="75" xfId="4" applyNumberFormat="1" applyFont="1" applyFill="1" applyBorder="1" applyAlignment="1">
      <alignment horizontal="center" wrapText="1"/>
    </xf>
    <xf numFmtId="1" fontId="9" fillId="6" borderId="47" xfId="5" applyNumberFormat="1" applyFont="1" applyFill="1" applyBorder="1" applyAlignment="1">
      <alignment horizontal="right" wrapText="1"/>
    </xf>
    <xf numFmtId="1" fontId="9" fillId="6" borderId="11" xfId="6" applyNumberFormat="1" applyFont="1" applyFill="1" applyBorder="1" applyAlignment="1">
      <alignment horizontal="right" wrapText="1"/>
    </xf>
    <xf numFmtId="0" fontId="9" fillId="6" borderId="75" xfId="4" applyFont="1" applyFill="1" applyBorder="1" applyAlignment="1">
      <alignment horizontal="right" wrapText="1"/>
    </xf>
    <xf numFmtId="169" fontId="9" fillId="6" borderId="11" xfId="6" applyNumberFormat="1" applyFont="1" applyFill="1" applyBorder="1" applyAlignment="1">
      <alignment horizontal="right" wrapText="1"/>
    </xf>
    <xf numFmtId="169" fontId="9" fillId="6" borderId="47" xfId="5" applyNumberFormat="1" applyFont="1" applyFill="1" applyBorder="1" applyAlignment="1">
      <alignment horizontal="right" wrapText="1"/>
    </xf>
    <xf numFmtId="2" fontId="9" fillId="6" borderId="75" xfId="4" applyNumberFormat="1" applyFont="1" applyFill="1" applyBorder="1" applyAlignment="1">
      <alignment horizontal="right" wrapText="1"/>
    </xf>
    <xf numFmtId="1" fontId="0" fillId="6" borderId="12" xfId="0" applyNumberFormat="1" applyFill="1" applyBorder="1"/>
    <xf numFmtId="1" fontId="9" fillId="6" borderId="80" xfId="5" applyNumberFormat="1" applyFont="1" applyFill="1" applyBorder="1" applyAlignment="1">
      <alignment horizontal="right" wrapText="1"/>
    </xf>
    <xf numFmtId="1" fontId="9" fillId="6" borderId="78" xfId="6" applyNumberFormat="1" applyFont="1" applyFill="1" applyBorder="1" applyAlignment="1">
      <alignment horizontal="right" wrapText="1"/>
    </xf>
    <xf numFmtId="0" fontId="9" fillId="6" borderId="81" xfId="4" applyFont="1" applyFill="1" applyBorder="1" applyAlignment="1">
      <alignment horizontal="right" wrapText="1"/>
    </xf>
    <xf numFmtId="0" fontId="19" fillId="6" borderId="0" xfId="0" applyFont="1" applyFill="1"/>
    <xf numFmtId="0" fontId="1" fillId="6" borderId="0" xfId="0" applyFont="1" applyFill="1"/>
    <xf numFmtId="0" fontId="19" fillId="3" borderId="0" xfId="0" applyFont="1" applyFill="1"/>
    <xf numFmtId="0" fontId="1" fillId="3" borderId="0" xfId="0" applyFont="1" applyFill="1"/>
    <xf numFmtId="0" fontId="19" fillId="0" borderId="0" xfId="0" applyFont="1" applyAlignment="1">
      <alignment horizontal="left" vertical="top" wrapText="1"/>
    </xf>
    <xf numFmtId="0" fontId="2" fillId="5" borderId="0" xfId="0" applyFont="1" applyFill="1" applyAlignment="1">
      <alignment horizontal="center"/>
    </xf>
    <xf numFmtId="0" fontId="19" fillId="0" borderId="0" xfId="0" applyFont="1" applyAlignment="1">
      <alignment horizontal="left"/>
    </xf>
    <xf numFmtId="0" fontId="19" fillId="0" borderId="0" xfId="0" applyFont="1" applyAlignment="1">
      <alignment horizontal="left" vertical="top"/>
    </xf>
    <xf numFmtId="0" fontId="27" fillId="6" borderId="0" xfId="14" applyFill="1" applyAlignment="1">
      <alignment horizontal="left"/>
    </xf>
    <xf numFmtId="0" fontId="19" fillId="0" borderId="0" xfId="0" applyFont="1" applyAlignment="1">
      <alignment horizontal="left" wrapText="1"/>
    </xf>
    <xf numFmtId="0" fontId="19" fillId="9" borderId="0" xfId="0" applyFont="1" applyFill="1" applyAlignment="1">
      <alignment horizontal="left"/>
    </xf>
    <xf numFmtId="0" fontId="27" fillId="3" borderId="0" xfId="14" applyFill="1" applyAlignment="1">
      <alignment horizontal="left"/>
    </xf>
    <xf numFmtId="0" fontId="19" fillId="0" borderId="58" xfId="0" applyFont="1" applyBorder="1" applyAlignment="1">
      <alignment horizontal="left" vertical="top" shrinkToFit="1"/>
    </xf>
    <xf numFmtId="0" fontId="19" fillId="0" borderId="60" xfId="0" applyFont="1" applyBorder="1" applyAlignment="1">
      <alignment horizontal="left" vertical="top" shrinkToFit="1"/>
    </xf>
    <xf numFmtId="0" fontId="19" fillId="0" borderId="0" xfId="0" applyFont="1" applyBorder="1" applyAlignment="1">
      <alignment horizontal="left" vertical="top" wrapText="1" shrinkToFit="1"/>
    </xf>
    <xf numFmtId="0" fontId="19" fillId="0" borderId="0" xfId="0" quotePrefix="1" applyFont="1" applyAlignment="1">
      <alignment horizontal="left" vertical="top" wrapText="1"/>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19" fillId="0" borderId="35" xfId="0" applyFont="1" applyBorder="1" applyAlignment="1">
      <alignment horizontal="left" vertical="top" shrinkToFit="1"/>
    </xf>
    <xf numFmtId="0" fontId="19" fillId="0" borderId="0" xfId="0" applyFont="1" applyBorder="1" applyAlignment="1">
      <alignment horizontal="left" vertical="top" shrinkToFit="1"/>
    </xf>
    <xf numFmtId="0" fontId="19" fillId="0" borderId="0" xfId="7" applyFont="1" applyFill="1" applyBorder="1" applyAlignment="1">
      <alignment horizontal="left" vertical="center"/>
    </xf>
    <xf numFmtId="0" fontId="20" fillId="0" borderId="0" xfId="7" applyFont="1" applyFill="1" applyBorder="1" applyAlignment="1">
      <alignment horizontal="left" vertical="center"/>
    </xf>
    <xf numFmtId="0" fontId="19" fillId="0" borderId="0" xfId="0" quotePrefix="1" applyFont="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90" xfId="0" applyFont="1" applyFill="1" applyBorder="1" applyAlignment="1">
      <alignment horizontal="center" vertical="center"/>
    </xf>
    <xf numFmtId="0" fontId="2" fillId="13" borderId="0" xfId="0" applyFont="1" applyFill="1" applyAlignment="1">
      <alignment horizontal="center"/>
    </xf>
    <xf numFmtId="43" fontId="3" fillId="0" borderId="4" xfId="1" applyNumberFormat="1" applyFont="1" applyFill="1" applyBorder="1" applyAlignment="1">
      <alignment horizontal="center" vertical="center" wrapText="1"/>
    </xf>
    <xf numFmtId="43" fontId="3" fillId="0" borderId="0" xfId="1" applyNumberFormat="1" applyFont="1" applyFill="1" applyBorder="1" applyAlignment="1">
      <alignment horizontal="center" vertical="center" wrapText="1"/>
    </xf>
    <xf numFmtId="43" fontId="3" fillId="0" borderId="5" xfId="1" applyNumberFormat="1" applyFont="1" applyFill="1" applyBorder="1" applyAlignment="1">
      <alignment horizontal="center" vertical="center" wrapText="1"/>
    </xf>
    <xf numFmtId="43" fontId="3" fillId="0" borderId="6" xfId="1" applyNumberFormat="1" applyFont="1" applyFill="1" applyBorder="1" applyAlignment="1">
      <alignment horizontal="center" vertical="center" wrapText="1"/>
    </xf>
    <xf numFmtId="43" fontId="3" fillId="0" borderId="7" xfId="1" applyNumberFormat="1" applyFont="1" applyFill="1" applyBorder="1" applyAlignment="1">
      <alignment horizontal="center" vertical="center" wrapText="1"/>
    </xf>
    <xf numFmtId="43" fontId="3" fillId="0" borderId="8" xfId="1" applyNumberFormat="1" applyFont="1" applyFill="1" applyBorder="1" applyAlignment="1">
      <alignment horizontal="center" vertical="center" wrapText="1"/>
    </xf>
    <xf numFmtId="0" fontId="2" fillId="5" borderId="0" xfId="0" applyFont="1" applyFill="1" applyAlignment="1">
      <alignment horizontal="left"/>
    </xf>
    <xf numFmtId="0" fontId="7" fillId="9" borderId="0" xfId="0" applyFont="1" applyFill="1" applyAlignment="1">
      <alignment horizontal="left" vertical="center"/>
    </xf>
    <xf numFmtId="0" fontId="0" fillId="0" borderId="0" xfId="0" applyAlignment="1">
      <alignment horizontal="center" vertical="center"/>
    </xf>
    <xf numFmtId="0" fontId="0" fillId="0" borderId="87" xfId="0" applyNumberFormat="1" applyFont="1" applyBorder="1" applyAlignment="1">
      <alignment horizontal="left"/>
    </xf>
    <xf numFmtId="0" fontId="0" fillId="0" borderId="86" xfId="0" applyNumberFormat="1" applyFont="1" applyBorder="1" applyAlignment="1">
      <alignment horizontal="left"/>
    </xf>
    <xf numFmtId="0" fontId="0" fillId="0" borderId="85" xfId="0" applyNumberFormat="1" applyFont="1" applyBorder="1" applyAlignment="1">
      <alignment horizontal="left"/>
    </xf>
    <xf numFmtId="0" fontId="0" fillId="0" borderId="0" xfId="0" applyAlignment="1">
      <alignment horizontal="left" vertical="top" wrapText="1"/>
    </xf>
    <xf numFmtId="49" fontId="0" fillId="0" borderId="0" xfId="0" applyNumberFormat="1" applyFont="1" applyAlignment="1">
      <alignment horizontal="left" vertical="top" wrapText="1"/>
    </xf>
    <xf numFmtId="0" fontId="2" fillId="8" borderId="28"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29" xfId="0" applyFont="1" applyFill="1" applyBorder="1" applyAlignment="1">
      <alignment horizontal="center" vertical="center"/>
    </xf>
    <xf numFmtId="0" fontId="7" fillId="8" borderId="0" xfId="0" applyFont="1" applyFill="1" applyAlignment="1">
      <alignment horizontal="center"/>
    </xf>
    <xf numFmtId="0" fontId="21" fillId="9" borderId="45" xfId="0" applyFont="1" applyFill="1" applyBorder="1" applyAlignment="1">
      <alignment horizontal="center" vertical="center"/>
    </xf>
    <xf numFmtId="0" fontId="21" fillId="9" borderId="34" xfId="0" applyFont="1" applyFill="1" applyBorder="1" applyAlignment="1">
      <alignment horizontal="center" vertical="center"/>
    </xf>
    <xf numFmtId="0" fontId="3" fillId="0" borderId="21" xfId="0" applyFont="1" applyBorder="1" applyAlignment="1">
      <alignment horizontal="left"/>
    </xf>
    <xf numFmtId="0" fontId="3" fillId="0" borderId="12" xfId="0" applyFont="1" applyBorder="1" applyAlignment="1">
      <alignment horizontal="left"/>
    </xf>
    <xf numFmtId="0" fontId="3" fillId="0" borderId="83" xfId="0" applyFont="1" applyBorder="1" applyAlignment="1">
      <alignment horizontal="left"/>
    </xf>
    <xf numFmtId="0" fontId="3" fillId="0" borderId="26" xfId="0" applyFont="1" applyBorder="1" applyAlignment="1">
      <alignment horizontal="left"/>
    </xf>
    <xf numFmtId="0" fontId="2" fillId="8" borderId="15"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3" fillId="0" borderId="22" xfId="0" applyFont="1" applyBorder="1" applyAlignment="1">
      <alignment horizontal="left"/>
    </xf>
    <xf numFmtId="0" fontId="3" fillId="0" borderId="24" xfId="0" applyFont="1" applyBorder="1" applyAlignment="1">
      <alignment horizontal="left"/>
    </xf>
    <xf numFmtId="0" fontId="3" fillId="0" borderId="82" xfId="0" applyFont="1" applyBorder="1" applyAlignment="1">
      <alignment horizontal="left"/>
    </xf>
    <xf numFmtId="0" fontId="3" fillId="0" borderId="31" xfId="0" applyFont="1" applyBorder="1" applyAlignment="1">
      <alignment horizontal="left"/>
    </xf>
    <xf numFmtId="0" fontId="2" fillId="8" borderId="42" xfId="0" applyFont="1" applyFill="1" applyBorder="1" applyAlignment="1">
      <alignment horizontal="center" vertical="center"/>
    </xf>
    <xf numFmtId="0" fontId="2" fillId="8" borderId="43" xfId="0" applyFont="1" applyFill="1" applyBorder="1" applyAlignment="1">
      <alignment horizontal="center" vertical="center"/>
    </xf>
    <xf numFmtId="0" fontId="2" fillId="8" borderId="44" xfId="0" applyFont="1" applyFill="1" applyBorder="1" applyAlignment="1">
      <alignment horizontal="center" vertical="center"/>
    </xf>
    <xf numFmtId="0" fontId="0" fillId="0" borderId="0" xfId="0" applyAlignment="1"/>
    <xf numFmtId="164" fontId="9" fillId="16" borderId="11" xfId="2" applyNumberFormat="1" applyFont="1" applyFill="1" applyBorder="1" applyAlignment="1">
      <alignment horizontal="center" vertical="center" wrapText="1"/>
    </xf>
    <xf numFmtId="164" fontId="9" fillId="16" borderId="49" xfId="2" applyNumberFormat="1" applyFont="1" applyFill="1" applyBorder="1" applyAlignment="1">
      <alignment horizontal="center" vertical="center" wrapText="1"/>
    </xf>
    <xf numFmtId="164" fontId="9" fillId="16" borderId="48" xfId="2" applyNumberFormat="1" applyFont="1" applyFill="1" applyBorder="1" applyAlignment="1">
      <alignment horizontal="center" vertical="center" wrapText="1"/>
    </xf>
    <xf numFmtId="164" fontId="9" fillId="16" borderId="48" xfId="2" quotePrefix="1" applyNumberFormat="1" applyFont="1" applyFill="1" applyBorder="1" applyAlignment="1">
      <alignment horizontal="center" vertical="center" wrapText="1"/>
    </xf>
    <xf numFmtId="164" fontId="9" fillId="16" borderId="11" xfId="2" applyNumberFormat="1" applyFont="1" applyFill="1" applyBorder="1" applyAlignment="1">
      <alignment horizontal="right" wrapText="1"/>
    </xf>
    <xf numFmtId="164" fontId="9" fillId="16" borderId="49" xfId="2" applyNumberFormat="1" applyFont="1" applyFill="1" applyBorder="1" applyAlignment="1">
      <alignment horizontal="right" wrapText="1"/>
    </xf>
    <xf numFmtId="164" fontId="9" fillId="16" borderId="48" xfId="2" applyNumberFormat="1" applyFont="1" applyFill="1" applyBorder="1" applyAlignment="1">
      <alignment horizontal="right" wrapText="1"/>
    </xf>
    <xf numFmtId="164" fontId="9" fillId="16" borderId="48" xfId="2" quotePrefix="1" applyNumberFormat="1" applyFont="1" applyFill="1" applyBorder="1" applyAlignment="1">
      <alignment horizontal="center" wrapText="1"/>
    </xf>
    <xf numFmtId="164" fontId="9" fillId="16" borderId="78" xfId="2" applyNumberFormat="1" applyFont="1" applyFill="1" applyBorder="1" applyAlignment="1">
      <alignment horizontal="right" wrapText="1"/>
    </xf>
    <xf numFmtId="164" fontId="9" fillId="16" borderId="79" xfId="2" applyNumberFormat="1" applyFont="1" applyFill="1" applyBorder="1" applyAlignment="1">
      <alignment horizontal="right" wrapText="1"/>
    </xf>
    <xf numFmtId="164" fontId="9" fillId="16" borderId="77" xfId="2" applyNumberFormat="1" applyFont="1" applyFill="1" applyBorder="1" applyAlignment="1">
      <alignment horizontal="right" wrapText="1"/>
    </xf>
    <xf numFmtId="164" fontId="9" fillId="16" borderId="77" xfId="2" quotePrefix="1" applyNumberFormat="1" applyFont="1" applyFill="1" applyBorder="1" applyAlignment="1">
      <alignment horizontal="center" wrapText="1"/>
    </xf>
    <xf numFmtId="164" fontId="9" fillId="16" borderId="77" xfId="2" quotePrefix="1" applyNumberFormat="1" applyFont="1" applyFill="1" applyBorder="1" applyAlignment="1">
      <alignment horizontal="center" vertical="center" wrapText="1"/>
    </xf>
  </cellXfs>
  <cellStyles count="15">
    <cellStyle name="Komma" xfId="1" builtinId="3"/>
    <cellStyle name="Link" xfId="14" builtinId="8"/>
    <cellStyle name="Milliers 2" xfId="8"/>
    <cellStyle name="Milliers 2 2" xfId="11"/>
    <cellStyle name="Milliers 3" xfId="10"/>
    <cellStyle name="Normal 2" xfId="7"/>
    <cellStyle name="Normal 29" xfId="12"/>
    <cellStyle name="Normal_FE" xfId="3"/>
    <cellStyle name="Normal_FE 2" xfId="5"/>
    <cellStyle name="Normal_FE_1" xfId="6"/>
    <cellStyle name="Normal_météo" xfId="4"/>
    <cellStyle name="Normal_Regional data" xfId="13"/>
    <cellStyle name="Pourcentage 2" xfId="9"/>
    <cellStyle name="Prozent" xfId="2" builtinId="5"/>
    <cellStyle name="Standard" xfId="0" builtinId="0"/>
  </cellStyles>
  <dxfs count="388">
    <dxf>
      <fill>
        <patternFill>
          <bgColor theme="4" tint="0.59996337778862885"/>
        </patternFill>
      </fill>
    </dxf>
    <dxf>
      <numFmt numFmtId="171" formatCode="\-"/>
      <fill>
        <patternFill patternType="darkUp">
          <fgColor theme="0"/>
          <bgColor theme="0" tint="-0.34998626667073579"/>
        </patternFill>
      </fill>
    </dxf>
    <dxf>
      <numFmt numFmtId="3" formatCode="#,##0"/>
      <fill>
        <patternFill>
          <bgColor rgb="FFFFFF00"/>
        </patternFill>
      </fill>
    </dxf>
    <dxf>
      <fill>
        <patternFill patternType="darkUp">
          <fgColor theme="0"/>
          <bgColor theme="0" tint="-0.34998626667073579"/>
        </patternFill>
      </fill>
    </dxf>
    <dxf>
      <numFmt numFmtId="172" formatCode="&quot;None&quot;"/>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
      <numFmt numFmtId="1" formatCode="0"/>
    </dxf>
    <dxf>
      <numFmt numFmtId="169" formatCode="0.0"/>
    </dxf>
    <dxf>
      <numFmt numFmtId="2" formatCode="0.00"/>
    </dxf>
    <dxf>
      <numFmt numFmtId="168" formatCode="0.000"/>
    </dxf>
    <dxf>
      <numFmt numFmtId="15" formatCode="0.00E+00"/>
    </dxf>
    <dxf>
      <numFmt numFmtId="171" formatCode="\-"/>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2091-4BD3-A28C-AD88A8F7C5EB}"/>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2091-4BD3-A28C-AD88A8F7C5EB}"/>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2091-4BD3-A28C-AD88A8F7C5EB}"/>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2091-4BD3-A28C-AD88A8F7C5EB}"/>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2091-4BD3-A28C-AD88A8F7C5EB}"/>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results'!$AA$64:$AA$68</c:f>
              <c:numCache>
                <c:formatCode>_(* #,##0.00_);_(* \(#,##0.00\);_(* "-"??_);_(@_)</c:formatCode>
                <c:ptCount val="5"/>
                <c:pt idx="0">
                  <c:v>0</c:v>
                </c:pt>
                <c:pt idx="1">
                  <c:v>28.501877199999999</c:v>
                </c:pt>
                <c:pt idx="2">
                  <c:v>0</c:v>
                </c:pt>
                <c:pt idx="3">
                  <c:v>0.21060341950302058</c:v>
                </c:pt>
                <c:pt idx="4">
                  <c:v>6.1208262826411564E-2</c:v>
                </c:pt>
              </c:numCache>
            </c:numRef>
          </c:val>
          <c:extLst xmlns:c16r2="http://schemas.microsoft.com/office/drawing/2015/06/chart">
            <c:ext xmlns:c16="http://schemas.microsoft.com/office/drawing/2014/chart" uri="{C3380CC4-5D6E-409C-BE32-E72D297353CC}">
              <c16:uniqueId val="{0000000A-2091-4BD3-A28C-AD88A8F7C5EB}"/>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AED7-4A57-AC9D-CF3C370B7864}"/>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AED7-4A57-AC9D-CF3C370B7864}"/>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AED7-4A57-AC9D-CF3C370B7864}"/>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AED7-4A57-AC9D-CF3C370B7864}"/>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AED7-4A57-AC9D-CF3C370B7864}"/>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results'!$S$64:$S$68</c:f>
              <c:numCache>
                <c:formatCode>_(* #,##0.00_);_(* \(#,##0.00\);_(* "-"??_);_(@_)</c:formatCode>
                <c:ptCount val="5"/>
                <c:pt idx="0">
                  <c:v>1.2314089777391322</c:v>
                </c:pt>
                <c:pt idx="1">
                  <c:v>27.05</c:v>
                </c:pt>
                <c:pt idx="2">
                  <c:v>555.99893903810164</c:v>
                </c:pt>
                <c:pt idx="3">
                  <c:v>4.0778780049071779</c:v>
                </c:pt>
                <c:pt idx="4">
                  <c:v>7.8379241699851248</c:v>
                </c:pt>
              </c:numCache>
            </c:numRef>
          </c:val>
          <c:extLst xmlns:c16r2="http://schemas.microsoft.com/office/drawing/2015/06/chart">
            <c:ext xmlns:c16="http://schemas.microsoft.com/office/drawing/2014/chart" uri="{C3380CC4-5D6E-409C-BE32-E72D297353CC}">
              <c16:uniqueId val="{0000000A-AED7-4A57-AC9D-CF3C370B7864}"/>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TSP</a:t>
            </a:r>
          </a:p>
        </c:rich>
      </c:tx>
      <c:layout>
        <c:manualLayout>
          <c:xMode val="edge"/>
          <c:yMode val="edge"/>
          <c:x val="0.47647898862006871"/>
          <c:y val="3.8333373578344966E-2"/>
        </c:manualLayout>
      </c:layout>
      <c:overlay val="0"/>
      <c:spPr>
        <a:noFill/>
        <a:ln>
          <a:noFill/>
        </a:ln>
        <a:effectLst/>
      </c:spPr>
    </c:title>
    <c:autoTitleDeleted val="0"/>
    <c:plotArea>
      <c:layout>
        <c:manualLayout>
          <c:layoutTarget val="inner"/>
          <c:xMode val="edge"/>
          <c:yMode val="edge"/>
          <c:x val="8.9945990094535203E-2"/>
          <c:y val="0.98175445184315102"/>
          <c:w val="1.5461221442780004E-2"/>
          <c:h val="1.8245548156848951E-2"/>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EDF2-4809-920F-2B492B55299D}"/>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EDF2-4809-920F-2B492B55299D}"/>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EDF2-4809-920F-2B492B55299D}"/>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EDF2-4809-920F-2B492B55299D}"/>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EDF2-4809-920F-2B492B55299D}"/>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#,##0.00_);_(* \(#,##0.00\);_(* "-"??_);_(@_)</c:formatCode>
                <c:ptCount val="5"/>
                <c:pt idx="0">
                  <c:v>0</c:v>
                </c:pt>
                <c:pt idx="1">
                  <c:v>19.7</c:v>
                </c:pt>
                <c:pt idx="2">
                  <c:v>0</c:v>
                </c:pt>
                <c:pt idx="3">
                  <c:v>4.0778780049071788</c:v>
                </c:pt>
                <c:pt idx="4">
                  <c:v>7.9229775377105387</c:v>
                </c:pt>
              </c:numCache>
            </c:numRef>
          </c:val>
          <c:extLst xmlns:c16r2="http://schemas.microsoft.com/office/drawing/2015/06/chart">
            <c:ext xmlns:c16="http://schemas.microsoft.com/office/drawing/2014/chart" uri="{C3380CC4-5D6E-409C-BE32-E72D297353CC}">
              <c16:uniqueId val="{0000000A-EDF2-4809-920F-2B492B55299D}"/>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3E30-4CA8-89E9-D83A656C0B51}"/>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3E30-4CA8-89E9-D83A656C0B51}"/>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3E30-4CA8-89E9-D83A656C0B51}"/>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3E30-4CA8-89E9-D83A656C0B51}"/>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3E30-4CA8-89E9-D83A656C0B51}"/>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results'!$T$64:$T$68</c:f>
              <c:numCache>
                <c:formatCode>_(* #,##0.00_);_(* \(#,##0.00\);_(* "-"??_);_(@_)</c:formatCode>
                <c:ptCount val="5"/>
                <c:pt idx="0">
                  <c:v>1.2314089777391322</c:v>
                </c:pt>
                <c:pt idx="1">
                  <c:v>38.6132878875</c:v>
                </c:pt>
                <c:pt idx="2">
                  <c:v>137.26526588610847</c:v>
                </c:pt>
                <c:pt idx="3">
                  <c:v>4.1970073506091259</c:v>
                </c:pt>
                <c:pt idx="4">
                  <c:v>2.4565755219640697</c:v>
                </c:pt>
              </c:numCache>
            </c:numRef>
          </c:val>
          <c:extLst xmlns:c16r2="http://schemas.microsoft.com/office/drawing/2015/06/chart">
            <c:ext xmlns:c16="http://schemas.microsoft.com/office/drawing/2014/chart" uri="{C3380CC4-5D6E-409C-BE32-E72D297353CC}">
              <c16:uniqueId val="{0000000A-3E30-4CA8-89E9-D83A656C0B51}"/>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379E-4B68-B349-0D825D5A1E6E}"/>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379E-4B68-B349-0D825D5A1E6E}"/>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379E-4B68-B349-0D825D5A1E6E}"/>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379E-4B68-B349-0D825D5A1E6E}"/>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379E-4B68-B349-0D825D5A1E6E}"/>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results'!$U$64:$U$68</c:f>
              <c:numCache>
                <c:formatCode>_(* #,##0.00_);_(* \(#,##0.00\);_(* "-"??_);_(@_)</c:formatCode>
                <c:ptCount val="5"/>
                <c:pt idx="0">
                  <c:v>1.2314089777391322</c:v>
                </c:pt>
                <c:pt idx="1">
                  <c:v>35.777456600000008</c:v>
                </c:pt>
                <c:pt idx="2">
                  <c:v>47.464875966133448</c:v>
                </c:pt>
                <c:pt idx="3">
                  <c:v>4.3643301551233566</c:v>
                </c:pt>
                <c:pt idx="4">
                  <c:v>1.2291052728792444</c:v>
                </c:pt>
              </c:numCache>
            </c:numRef>
          </c:val>
          <c:extLst xmlns:c16r2="http://schemas.microsoft.com/office/drawing/2015/06/chart">
            <c:ext xmlns:c16="http://schemas.microsoft.com/office/drawing/2014/chart" uri="{C3380CC4-5D6E-409C-BE32-E72D297353CC}">
              <c16:uniqueId val="{0000000A-379E-4B68-B349-0D825D5A1E6E}"/>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B6D0-4C98-B242-7ECCD0AEFACF}"/>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B6D0-4C98-B242-7ECCD0AEFACF}"/>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B6D0-4C98-B242-7ECCD0AEFACF}"/>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B6D0-4C98-B242-7ECCD0AEFACF}"/>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B6D0-4C98-B242-7ECCD0AEFACF}"/>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results'!$V$64:$V$68</c:f>
              <c:numCache>
                <c:formatCode>_(* #,##0.00_);_(* \(#,##0.00\);_(* "-"??_);_(@_)</c:formatCode>
                <c:ptCount val="5"/>
                <c:pt idx="0">
                  <c:v>0</c:v>
                </c:pt>
                <c:pt idx="1">
                  <c:v>10.215</c:v>
                </c:pt>
                <c:pt idx="2">
                  <c:v>31.350675871619405</c:v>
                </c:pt>
                <c:pt idx="3">
                  <c:v>0.8759200600565239</c:v>
                </c:pt>
                <c:pt idx="4">
                  <c:v>3.9032485748313013</c:v>
                </c:pt>
              </c:numCache>
            </c:numRef>
          </c:val>
          <c:extLst xmlns:c16r2="http://schemas.microsoft.com/office/drawing/2015/06/chart">
            <c:ext xmlns:c16="http://schemas.microsoft.com/office/drawing/2014/chart" uri="{C3380CC4-5D6E-409C-BE32-E72D297353CC}">
              <c16:uniqueId val="{0000000A-B6D0-4C98-B242-7ECCD0AEFACF}"/>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FC7D-4C2B-8CC5-CA869F0CB719}"/>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FC7D-4C2B-8CC5-CA869F0CB719}"/>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FC7D-4C2B-8CC5-CA869F0CB719}"/>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FC7D-4C2B-8CC5-CA869F0CB719}"/>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FC7D-4C2B-8CC5-CA869F0CB719}"/>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results'!$W$64:$W$68</c:f>
              <c:numCache>
                <c:formatCode>_(* #,##0.00_);_(* \(#,##0.00\);_(* "-"??_);_(@_)</c:formatCode>
                <c:ptCount val="5"/>
                <c:pt idx="0">
                  <c:v>0</c:v>
                </c:pt>
                <c:pt idx="1">
                  <c:v>15.564510075000001</c:v>
                </c:pt>
                <c:pt idx="2">
                  <c:v>13.057869711222603</c:v>
                </c:pt>
                <c:pt idx="3">
                  <c:v>0.90150880584935422</c:v>
                </c:pt>
                <c:pt idx="4">
                  <c:v>1.2151722536966008</c:v>
                </c:pt>
              </c:numCache>
            </c:numRef>
          </c:val>
          <c:extLst xmlns:c16r2="http://schemas.microsoft.com/office/drawing/2015/06/chart">
            <c:ext xmlns:c16="http://schemas.microsoft.com/office/drawing/2014/chart" uri="{C3380CC4-5D6E-409C-BE32-E72D297353CC}">
              <c16:uniqueId val="{0000000A-FC7D-4C2B-8CC5-CA869F0CB719}"/>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1C3E-4A44-89A2-0E92178B1A14}"/>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1C3E-4A44-89A2-0E92178B1A14}"/>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1C3E-4A44-89A2-0E92178B1A14}"/>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1C3E-4A44-89A2-0E92178B1A14}"/>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1C3E-4A44-89A2-0E92178B1A14}"/>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results'!$X$64:$X$68</c:f>
              <c:numCache>
                <c:formatCode>_(* #,##0.00_);_(* \(#,##0.00\);_(* "-"??_);_(@_)</c:formatCode>
                <c:ptCount val="5"/>
                <c:pt idx="0">
                  <c:v>0</c:v>
                </c:pt>
                <c:pt idx="1">
                  <c:v>14.519946600000001</c:v>
                </c:pt>
                <c:pt idx="2">
                  <c:v>0</c:v>
                </c:pt>
                <c:pt idx="3">
                  <c:v>0.93744941044874752</c:v>
                </c:pt>
                <c:pt idx="4">
                  <c:v>0.49854805147291364</c:v>
                </c:pt>
              </c:numCache>
            </c:numRef>
          </c:val>
          <c:extLst xmlns:c16r2="http://schemas.microsoft.com/office/drawing/2015/06/chart">
            <c:ext xmlns:c16="http://schemas.microsoft.com/office/drawing/2014/chart" uri="{C3380CC4-5D6E-409C-BE32-E72D297353CC}">
              <c16:uniqueId val="{0000000A-1C3E-4A44-89A2-0E92178B1A14}"/>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754D-4EA8-A971-0090D5EBDC2A}"/>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754D-4EA8-A971-0090D5EBDC2A}"/>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754D-4EA8-A971-0090D5EBDC2A}"/>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754D-4EA8-A971-0090D5EBDC2A}"/>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754D-4EA8-A971-0090D5EBDC2A}"/>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#,##0.00_);_(* \(#,##0.00\);_(* "-"??_);_(@_)</c:formatCode>
                <c:ptCount val="5"/>
                <c:pt idx="0">
                  <c:v>0</c:v>
                </c:pt>
                <c:pt idx="1">
                  <c:v>19.7</c:v>
                </c:pt>
                <c:pt idx="2">
                  <c:v>0</c:v>
                </c:pt>
                <c:pt idx="3">
                  <c:v>4.0778780049071788</c:v>
                </c:pt>
                <c:pt idx="4">
                  <c:v>7.9229775377105387</c:v>
                </c:pt>
              </c:numCache>
            </c:numRef>
          </c:val>
          <c:extLst xmlns:c16r2="http://schemas.microsoft.com/office/drawing/2015/06/chart">
            <c:ext xmlns:c16="http://schemas.microsoft.com/office/drawing/2014/chart" uri="{C3380CC4-5D6E-409C-BE32-E72D297353CC}">
              <c16:uniqueId val="{0000000A-754D-4EA8-A971-0090D5EBDC2A}"/>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xmlns:c16r2="http://schemas.microsoft.com/office/drawing/2015/06/chart">
              <c:ext xmlns:c16="http://schemas.microsoft.com/office/drawing/2014/chart" uri="{C3380CC4-5D6E-409C-BE32-E72D297353CC}">
                <c16:uniqueId val="{00000001-C5FF-4D5D-9E54-C451F6BC6238}"/>
              </c:ext>
            </c:extLst>
          </c:dPt>
          <c:dPt>
            <c:idx val="1"/>
            <c:bubble3D val="0"/>
            <c:spPr>
              <a:solidFill>
                <a:schemeClr val="accent2"/>
              </a:solidFill>
              <a:ln w="9525">
                <a:solidFill>
                  <a:schemeClr val="lt1"/>
                </a:solidFill>
              </a:ln>
              <a:effectLst/>
            </c:spPr>
            <c:extLst xmlns:c16r2="http://schemas.microsoft.com/office/drawing/2015/06/chart">
              <c:ext xmlns:c16="http://schemas.microsoft.com/office/drawing/2014/chart" uri="{C3380CC4-5D6E-409C-BE32-E72D297353CC}">
                <c16:uniqueId val="{00000003-C5FF-4D5D-9E54-C451F6BC6238}"/>
              </c:ext>
            </c:extLst>
          </c:dPt>
          <c:dPt>
            <c:idx val="2"/>
            <c:bubble3D val="0"/>
            <c:spPr>
              <a:solidFill>
                <a:schemeClr val="accent3"/>
              </a:solidFill>
              <a:ln w="9525">
                <a:solidFill>
                  <a:schemeClr val="lt1"/>
                </a:solidFill>
              </a:ln>
              <a:effectLst/>
            </c:spPr>
            <c:extLst xmlns:c16r2="http://schemas.microsoft.com/office/drawing/2015/06/chart">
              <c:ext xmlns:c16="http://schemas.microsoft.com/office/drawing/2014/chart" uri="{C3380CC4-5D6E-409C-BE32-E72D297353CC}">
                <c16:uniqueId val="{00000005-C5FF-4D5D-9E54-C451F6BC6238}"/>
              </c:ext>
            </c:extLst>
          </c:dPt>
          <c:dPt>
            <c:idx val="3"/>
            <c:bubble3D val="0"/>
            <c:spPr>
              <a:solidFill>
                <a:schemeClr val="accent4"/>
              </a:solidFill>
              <a:ln w="9525">
                <a:solidFill>
                  <a:schemeClr val="lt1"/>
                </a:solidFill>
              </a:ln>
              <a:effectLst/>
            </c:spPr>
            <c:extLst xmlns:c16r2="http://schemas.microsoft.com/office/drawing/2015/06/chart">
              <c:ext xmlns:c16="http://schemas.microsoft.com/office/drawing/2014/chart" uri="{C3380CC4-5D6E-409C-BE32-E72D297353CC}">
                <c16:uniqueId val="{00000007-C5FF-4D5D-9E54-C451F6BC6238}"/>
              </c:ext>
            </c:extLst>
          </c:dPt>
          <c:dPt>
            <c:idx val="4"/>
            <c:bubble3D val="0"/>
            <c:spPr>
              <a:solidFill>
                <a:schemeClr val="accent5"/>
              </a:solidFill>
              <a:ln w="9525">
                <a:solidFill>
                  <a:schemeClr val="lt1"/>
                </a:solidFill>
              </a:ln>
              <a:effectLst/>
            </c:spPr>
            <c:extLst xmlns:c16r2="http://schemas.microsoft.com/office/drawing/2015/06/chart">
              <c:ext xmlns:c16="http://schemas.microsoft.com/office/drawing/2014/chart" uri="{C3380CC4-5D6E-409C-BE32-E72D297353CC}">
                <c16:uniqueId val="{00000009-C5FF-4D5D-9E54-C451F6BC6238}"/>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results'!$Z$64:$Z$68</c:f>
              <c:numCache>
                <c:formatCode>_(* #,##0.00_);_(* \(#,##0.00\);_(* "-"??_);_(@_)</c:formatCode>
                <c:ptCount val="5"/>
                <c:pt idx="0">
                  <c:v>0</c:v>
                </c:pt>
                <c:pt idx="1">
                  <c:v>30.766975650000003</c:v>
                </c:pt>
                <c:pt idx="2">
                  <c:v>0</c:v>
                </c:pt>
                <c:pt idx="3">
                  <c:v>4.197007350609125</c:v>
                </c:pt>
                <c:pt idx="4">
                  <c:v>2.4670810657026681</c:v>
                </c:pt>
              </c:numCache>
            </c:numRef>
          </c:val>
          <c:extLst xmlns:c16r2="http://schemas.microsoft.com/office/drawing/2015/06/chart">
            <c:ext xmlns:c16="http://schemas.microsoft.com/office/drawing/2014/chart" uri="{C3380CC4-5D6E-409C-BE32-E72D297353CC}">
              <c16:uniqueId val="{0000000A-C5FF-4D5D-9E54-C451F6BC6238}"/>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945990094535203E-2"/>
          <c:y val="0.98175445184315102"/>
          <c:w val="1.5461221442780004E-2"/>
          <c:h val="1.8245548156848951E-2"/>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A894-4D84-9EBF-55D6CBB6513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A894-4D84-9EBF-55D6CBB6513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A894-4D84-9EBF-55D6CBB6513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A894-4D84-9EBF-55D6CBB6513E}"/>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A894-4D84-9EBF-55D6CBB6513E}"/>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#,##0.00_);_(* \(#,##0.00\);_(* "-"??_);_(@_)</c:formatCode>
                <c:ptCount val="5"/>
                <c:pt idx="0">
                  <c:v>0</c:v>
                </c:pt>
                <c:pt idx="1">
                  <c:v>19.7</c:v>
                </c:pt>
                <c:pt idx="2">
                  <c:v>0</c:v>
                </c:pt>
                <c:pt idx="3">
                  <c:v>4.0778780049071788</c:v>
                </c:pt>
                <c:pt idx="4">
                  <c:v>7.9229775377105387</c:v>
                </c:pt>
              </c:numCache>
            </c:numRef>
          </c:val>
          <c:extLst xmlns:c16r2="http://schemas.microsoft.com/office/drawing/2015/06/chart">
            <c:ext xmlns:c16="http://schemas.microsoft.com/office/drawing/2014/chart" uri="{C3380CC4-5D6E-409C-BE32-E72D297353CC}">
              <c16:uniqueId val="{0000000A-A894-4D84-9EBF-55D6CBB6513E}"/>
            </c:ext>
          </c:extLst>
        </c:ser>
        <c:dLbls>
          <c:showLegendKey val="0"/>
          <c:showVal val="0"/>
          <c:showCatName val="0"/>
          <c:showSerName val="0"/>
          <c:showPercent val="0"/>
          <c:showBubbleSize val="0"/>
          <c:showLeaderLines val="0"/>
        </c:dLbls>
        <c:firstSliceAng val="0"/>
      </c:pieChart>
      <c:spPr>
        <a:noFill/>
        <a:ln>
          <a:noFill/>
        </a:ln>
        <a:effectLst/>
      </c:spPr>
    </c:plotArea>
    <c:legend>
      <c:legendPos val="t"/>
      <c:layout>
        <c:manualLayout>
          <c:xMode val="edge"/>
          <c:yMode val="edge"/>
          <c:x val="1.3043488627616916E-2"/>
          <c:y val="3.5118199599159683E-2"/>
          <c:w val="0.98217133389098266"/>
          <c:h val="0.937256417067104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457199</xdr:colOff>
      <xdr:row>16</xdr:row>
      <xdr:rowOff>19050</xdr:rowOff>
    </xdr:from>
    <xdr:to>
      <xdr:col>5</xdr:col>
      <xdr:colOff>19051</xdr:colOff>
      <xdr:row>38</xdr:row>
      <xdr:rowOff>161926</xdr:rowOff>
    </xdr:to>
    <xdr:pic>
      <xdr:nvPicPr>
        <xdr:cNvPr id="4" name="Image 3">
          <a:extLst>
            <a:ext uri="{FF2B5EF4-FFF2-40B4-BE49-F238E27FC236}">
              <a16:creationId xmlns:a16="http://schemas.microsoft.com/office/drawing/2014/main" xmlns="" id="{37FAF222-6CDA-4270-9F5E-12751EAB6D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199" y="3829050"/>
          <a:ext cx="3943352" cy="45434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60049</xdr:colOff>
      <xdr:row>20</xdr:row>
      <xdr:rowOff>155712</xdr:rowOff>
    </xdr:from>
    <xdr:to>
      <xdr:col>25</xdr:col>
      <xdr:colOff>222049</xdr:colOff>
      <xdr:row>28</xdr:row>
      <xdr:rowOff>160267</xdr:rowOff>
    </xdr:to>
    <xdr:graphicFrame macro="">
      <xdr:nvGraphicFramePr>
        <xdr:cNvPr id="9" name="Graphique 8">
          <a:extLst>
            <a:ext uri="{FF2B5EF4-FFF2-40B4-BE49-F238E27FC236}">
              <a16:creationId xmlns:a16="http://schemas.microsoft.com/office/drawing/2014/main" xmlns="" id="{4C0A9D0E-EFDD-4DA9-BBAE-981269879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xdr:colOff>
      <xdr:row>1</xdr:row>
      <xdr:rowOff>0</xdr:rowOff>
    </xdr:from>
    <xdr:to>
      <xdr:col>25</xdr:col>
      <xdr:colOff>233985</xdr:colOff>
      <xdr:row>31</xdr:row>
      <xdr:rowOff>150743</xdr:rowOff>
    </xdr:to>
    <xdr:grpSp>
      <xdr:nvGrpSpPr>
        <xdr:cNvPr id="14" name="Groupe 13">
          <a:extLst>
            <a:ext uri="{FF2B5EF4-FFF2-40B4-BE49-F238E27FC236}">
              <a16:creationId xmlns:a16="http://schemas.microsoft.com/office/drawing/2014/main" xmlns="" id="{02EBAE98-0EF3-4670-B957-51D9B714C64E}"/>
            </a:ext>
          </a:extLst>
        </xdr:cNvPr>
        <xdr:cNvGrpSpPr/>
      </xdr:nvGrpSpPr>
      <xdr:grpSpPr>
        <a:xfrm>
          <a:off x="8639175" y="190500"/>
          <a:ext cx="7139610" cy="5989568"/>
          <a:chOff x="8641896" y="0"/>
          <a:chExt cx="7145053" cy="6029029"/>
        </a:xfrm>
      </xdr:grpSpPr>
      <xdr:graphicFrame macro="">
        <xdr:nvGraphicFramePr>
          <xdr:cNvPr id="2" name="Graphique 1">
            <a:extLst>
              <a:ext uri="{FF2B5EF4-FFF2-40B4-BE49-F238E27FC236}">
                <a16:creationId xmlns:a16="http://schemas.microsoft.com/office/drawing/2014/main" xmlns="" id="{D876836C-947A-446A-A140-33946C1C8661}"/>
              </a:ext>
            </a:extLst>
          </xdr:cNvPr>
          <xdr:cNvGraphicFramePr>
            <a:graphicFrameLocks/>
          </xdr:cNvGraphicFramePr>
        </xdr:nvGraphicFramePr>
        <xdr:xfrm>
          <a:off x="8641896" y="2120111"/>
          <a:ext cx="2273443" cy="1569376"/>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 name="Graphique 2">
            <a:extLst>
              <a:ext uri="{FF2B5EF4-FFF2-40B4-BE49-F238E27FC236}">
                <a16:creationId xmlns:a16="http://schemas.microsoft.com/office/drawing/2014/main" xmlns="" id="{6D1233C8-E764-4DAE-8443-D7524C83C44F}"/>
              </a:ext>
            </a:extLst>
          </xdr:cNvPr>
          <xdr:cNvGraphicFramePr>
            <a:graphicFrameLocks/>
          </xdr:cNvGraphicFramePr>
        </xdr:nvGraphicFramePr>
        <xdr:xfrm>
          <a:off x="8650179" y="3884069"/>
          <a:ext cx="2273443" cy="1569377"/>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4" name="Graphique 3">
            <a:extLst>
              <a:ext uri="{FF2B5EF4-FFF2-40B4-BE49-F238E27FC236}">
                <a16:creationId xmlns:a16="http://schemas.microsoft.com/office/drawing/2014/main" xmlns="" id="{F14D9B7A-9A29-49F8-A19F-B7738182FF2B}"/>
              </a:ext>
            </a:extLst>
          </xdr:cNvPr>
          <xdr:cNvGraphicFramePr>
            <a:graphicFrameLocks/>
          </xdr:cNvGraphicFramePr>
        </xdr:nvGraphicFramePr>
        <xdr:xfrm>
          <a:off x="10983037" y="347870"/>
          <a:ext cx="2268000" cy="1569376"/>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5" name="Graphique 4">
            <a:extLst>
              <a:ext uri="{FF2B5EF4-FFF2-40B4-BE49-F238E27FC236}">
                <a16:creationId xmlns:a16="http://schemas.microsoft.com/office/drawing/2014/main" xmlns="" id="{9C7EC5C7-5B3A-4E08-9633-E6D5D5FE90AE}"/>
              </a:ext>
            </a:extLst>
          </xdr:cNvPr>
          <xdr:cNvGraphicFramePr>
            <a:graphicFrameLocks/>
          </xdr:cNvGraphicFramePr>
        </xdr:nvGraphicFramePr>
        <xdr:xfrm>
          <a:off x="10991319" y="2120111"/>
          <a:ext cx="2268000" cy="1569376"/>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6" name="Graphique 5">
            <a:extLst>
              <a:ext uri="{FF2B5EF4-FFF2-40B4-BE49-F238E27FC236}">
                <a16:creationId xmlns:a16="http://schemas.microsoft.com/office/drawing/2014/main" xmlns="" id="{16787154-F642-4061-9D2C-61EB533BD608}"/>
              </a:ext>
            </a:extLst>
          </xdr:cNvPr>
          <xdr:cNvGraphicFramePr>
            <a:graphicFrameLocks/>
          </xdr:cNvGraphicFramePr>
        </xdr:nvGraphicFramePr>
        <xdr:xfrm>
          <a:off x="10983036" y="3884069"/>
          <a:ext cx="2268000" cy="1569377"/>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7" name="Graphique 6">
            <a:extLst>
              <a:ext uri="{FF2B5EF4-FFF2-40B4-BE49-F238E27FC236}">
                <a16:creationId xmlns:a16="http://schemas.microsoft.com/office/drawing/2014/main" xmlns="" id="{EF9FC258-2B1C-41D6-9230-BDF71F7763C0}"/>
              </a:ext>
            </a:extLst>
          </xdr:cNvPr>
          <xdr:cNvGraphicFramePr>
            <a:graphicFrameLocks/>
          </xdr:cNvGraphicFramePr>
        </xdr:nvGraphicFramePr>
        <xdr:xfrm>
          <a:off x="13318729" y="347869"/>
          <a:ext cx="2448000" cy="156937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8" name="Graphique 7">
            <a:extLst>
              <a:ext uri="{FF2B5EF4-FFF2-40B4-BE49-F238E27FC236}">
                <a16:creationId xmlns:a16="http://schemas.microsoft.com/office/drawing/2014/main" xmlns="" id="{8D8F27BB-9978-4C98-AF00-7B0A48DABC71}"/>
              </a:ext>
            </a:extLst>
          </xdr:cNvPr>
          <xdr:cNvGraphicFramePr>
            <a:graphicFrameLocks/>
          </xdr:cNvGraphicFramePr>
        </xdr:nvGraphicFramePr>
        <xdr:xfrm>
          <a:off x="13327013" y="2120111"/>
          <a:ext cx="2448000" cy="1569376"/>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Graphique 9">
            <a:extLst>
              <a:ext uri="{FF2B5EF4-FFF2-40B4-BE49-F238E27FC236}">
                <a16:creationId xmlns:a16="http://schemas.microsoft.com/office/drawing/2014/main" xmlns="" id="{B87EB8B7-F531-47E7-BFBF-6F721B026F49}"/>
              </a:ext>
            </a:extLst>
          </xdr:cNvPr>
          <xdr:cNvGraphicFramePr>
            <a:graphicFrameLocks/>
          </xdr:cNvGraphicFramePr>
        </xdr:nvGraphicFramePr>
        <xdr:xfrm>
          <a:off x="8650180" y="5540356"/>
          <a:ext cx="7136769" cy="488673"/>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Graphique 10">
            <a:extLst>
              <a:ext uri="{FF2B5EF4-FFF2-40B4-BE49-F238E27FC236}">
                <a16:creationId xmlns:a16="http://schemas.microsoft.com/office/drawing/2014/main" xmlns="" id="{D7337B51-A7BE-4F18-A3B6-38C40487144F}"/>
              </a:ext>
            </a:extLst>
          </xdr:cNvPr>
          <xdr:cNvGraphicFramePr>
            <a:graphicFrameLocks/>
          </xdr:cNvGraphicFramePr>
        </xdr:nvGraphicFramePr>
        <xdr:xfrm>
          <a:off x="8641897" y="347870"/>
          <a:ext cx="2273443" cy="1569376"/>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Graphique 11">
            <a:extLst>
              <a:ext uri="{FF2B5EF4-FFF2-40B4-BE49-F238E27FC236}">
                <a16:creationId xmlns:a16="http://schemas.microsoft.com/office/drawing/2014/main" xmlns="" id="{E517C40B-07CC-424C-B614-6A0DD4C4B105}"/>
              </a:ext>
            </a:extLst>
          </xdr:cNvPr>
          <xdr:cNvGraphicFramePr>
            <a:graphicFrameLocks/>
          </xdr:cNvGraphicFramePr>
        </xdr:nvGraphicFramePr>
        <xdr:xfrm>
          <a:off x="8641898" y="0"/>
          <a:ext cx="7136769" cy="29817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92D050"/>
  </sheetPr>
  <dimension ref="A1:M2832"/>
  <sheetViews>
    <sheetView tabSelected="1" view="pageBreakPreview" zoomScaleNormal="100" zoomScaleSheetLayoutView="100" workbookViewId="0">
      <selection sqref="A1:G1"/>
    </sheetView>
  </sheetViews>
  <sheetFormatPr baseColWidth="10" defaultRowHeight="15" x14ac:dyDescent="0.25"/>
  <cols>
    <col min="1" max="1" width="18.140625" style="167" customWidth="1"/>
    <col min="2" max="2" width="6.42578125" style="167" customWidth="1"/>
    <col min="3" max="3" width="21.42578125" style="167" customWidth="1"/>
    <col min="4" max="6" width="9.85546875" style="167" customWidth="1"/>
    <col min="7" max="7" width="11.7109375" style="148" customWidth="1"/>
    <col min="8" max="8" width="11.42578125" style="148"/>
  </cols>
  <sheetData>
    <row r="1" spans="1:13" x14ac:dyDescent="0.25">
      <c r="A1" s="309" t="s">
        <v>214</v>
      </c>
      <c r="B1" s="309"/>
      <c r="C1" s="309"/>
      <c r="D1" s="309"/>
      <c r="E1" s="309"/>
      <c r="F1" s="309"/>
      <c r="G1" s="309"/>
    </row>
    <row r="2" spans="1:13" s="51" customFormat="1" ht="15.75" x14ac:dyDescent="0.25">
      <c r="A2" s="149"/>
      <c r="B2" s="149"/>
      <c r="C2" s="149"/>
      <c r="D2" s="149"/>
      <c r="E2" s="149"/>
      <c r="F2" s="149"/>
      <c r="G2" s="148"/>
      <c r="H2" s="148"/>
      <c r="I2" s="257"/>
      <c r="J2" s="257"/>
      <c r="K2" s="257"/>
      <c r="L2" s="257"/>
      <c r="M2" s="257"/>
    </row>
    <row r="3" spans="1:13" s="51" customFormat="1" ht="15.75" x14ac:dyDescent="0.25">
      <c r="A3" s="325" t="s">
        <v>183</v>
      </c>
      <c r="B3" s="325"/>
      <c r="C3" s="324" t="s">
        <v>184</v>
      </c>
      <c r="D3" s="324"/>
      <c r="E3" s="324"/>
      <c r="F3" s="324"/>
      <c r="G3" s="324"/>
      <c r="H3" s="148"/>
      <c r="I3" s="257"/>
      <c r="J3" s="257"/>
      <c r="K3" s="257"/>
      <c r="L3" s="257"/>
      <c r="M3" s="257"/>
    </row>
    <row r="4" spans="1:13" s="51" customFormat="1" ht="15.75" x14ac:dyDescent="0.25">
      <c r="A4" s="149"/>
      <c r="B4" s="148"/>
      <c r="C4" s="150"/>
      <c r="D4" s="150"/>
      <c r="E4" s="150"/>
      <c r="F4" s="150"/>
      <c r="G4" s="150"/>
      <c r="H4" s="148"/>
      <c r="I4" s="257"/>
      <c r="J4" s="257"/>
      <c r="K4" s="257"/>
      <c r="L4" s="257"/>
      <c r="M4" s="257"/>
    </row>
    <row r="5" spans="1:13" s="17" customFormat="1" ht="15.75" x14ac:dyDescent="0.25">
      <c r="A5" s="325" t="s">
        <v>185</v>
      </c>
      <c r="B5" s="325"/>
      <c r="C5" s="324" t="s">
        <v>255</v>
      </c>
      <c r="D5" s="324"/>
      <c r="E5" s="324"/>
      <c r="F5" s="324"/>
      <c r="G5" s="324"/>
      <c r="H5" s="166"/>
      <c r="I5" s="258"/>
      <c r="J5" s="258"/>
      <c r="K5" s="258"/>
      <c r="L5" s="258"/>
      <c r="M5" s="258"/>
    </row>
    <row r="6" spans="1:13" x14ac:dyDescent="0.25">
      <c r="A6" s="151"/>
      <c r="B6" s="152"/>
      <c r="C6" s="152"/>
      <c r="D6" s="152"/>
      <c r="E6" s="152"/>
      <c r="F6" s="152"/>
      <c r="I6" s="257"/>
      <c r="J6" s="257"/>
      <c r="K6" s="257"/>
      <c r="L6" s="257"/>
      <c r="M6" s="257"/>
    </row>
    <row r="7" spans="1:13" x14ac:dyDescent="0.25">
      <c r="A7" s="309" t="s">
        <v>182</v>
      </c>
      <c r="B7" s="309"/>
      <c r="C7" s="309"/>
      <c r="D7" s="309"/>
      <c r="E7" s="309"/>
      <c r="F7" s="309"/>
      <c r="G7" s="309"/>
      <c r="I7" s="257"/>
      <c r="J7" s="257"/>
      <c r="K7" s="257"/>
      <c r="L7" s="257"/>
      <c r="M7" s="257"/>
    </row>
    <row r="8" spans="1:13" x14ac:dyDescent="0.25">
      <c r="A8" s="152"/>
      <c r="B8" s="152"/>
      <c r="C8" s="152"/>
      <c r="D8" s="152"/>
      <c r="E8" s="152"/>
      <c r="F8" s="152"/>
      <c r="I8" s="257"/>
      <c r="J8" s="257"/>
      <c r="K8" s="257"/>
      <c r="L8" s="257"/>
      <c r="M8" s="257"/>
    </row>
    <row r="9" spans="1:13" ht="64.5" customHeight="1" x14ac:dyDescent="0.25">
      <c r="A9" s="318" t="s">
        <v>186</v>
      </c>
      <c r="B9" s="318"/>
      <c r="C9" s="318"/>
      <c r="D9" s="318"/>
      <c r="E9" s="318"/>
      <c r="F9" s="318"/>
      <c r="G9" s="318"/>
      <c r="I9" s="257"/>
      <c r="J9" s="257"/>
      <c r="K9" s="257"/>
      <c r="L9" s="257"/>
      <c r="M9" s="257"/>
    </row>
    <row r="10" spans="1:13" ht="15.75" x14ac:dyDescent="0.25">
      <c r="A10" s="318" t="s">
        <v>212</v>
      </c>
      <c r="B10" s="318"/>
      <c r="C10" s="318"/>
      <c r="D10" s="153"/>
      <c r="E10" s="153"/>
      <c r="F10" s="153"/>
      <c r="I10" s="257"/>
      <c r="J10" s="257"/>
      <c r="K10" s="257"/>
      <c r="L10" s="257"/>
      <c r="M10" s="257"/>
    </row>
    <row r="11" spans="1:13" ht="15.75" x14ac:dyDescent="0.25">
      <c r="A11" s="153"/>
      <c r="B11" s="318" t="s">
        <v>187</v>
      </c>
      <c r="C11" s="318"/>
      <c r="D11" s="318"/>
      <c r="E11" s="318"/>
      <c r="F11" s="318"/>
      <c r="I11" s="257"/>
      <c r="J11" s="257"/>
      <c r="K11" s="257"/>
      <c r="L11" s="257"/>
      <c r="M11" s="257"/>
    </row>
    <row r="12" spans="1:13" ht="15.75" x14ac:dyDescent="0.25">
      <c r="A12" s="153"/>
      <c r="B12" s="318" t="s">
        <v>188</v>
      </c>
      <c r="C12" s="318"/>
      <c r="D12" s="318"/>
      <c r="E12" s="318"/>
      <c r="F12" s="318"/>
      <c r="I12" s="257"/>
      <c r="J12" s="257"/>
      <c r="K12" s="257"/>
      <c r="L12" s="257"/>
      <c r="M12" s="257"/>
    </row>
    <row r="13" spans="1:13" ht="15.75" x14ac:dyDescent="0.25">
      <c r="A13" s="153"/>
      <c r="B13" s="318" t="s">
        <v>189</v>
      </c>
      <c r="C13" s="318"/>
      <c r="D13" s="318"/>
      <c r="E13" s="318"/>
      <c r="F13" s="318"/>
      <c r="I13" s="257"/>
      <c r="J13" s="257"/>
      <c r="K13" s="257"/>
      <c r="L13" s="257"/>
      <c r="M13" s="257"/>
    </row>
    <row r="14" spans="1:13" ht="15.75" x14ac:dyDescent="0.25">
      <c r="A14" s="154"/>
      <c r="B14" s="318" t="s">
        <v>190</v>
      </c>
      <c r="C14" s="318"/>
      <c r="D14" s="318"/>
      <c r="E14" s="318"/>
      <c r="F14" s="318"/>
    </row>
    <row r="15" spans="1:13" ht="15.75" x14ac:dyDescent="0.25">
      <c r="A15" s="154"/>
      <c r="B15" s="318" t="s">
        <v>191</v>
      </c>
      <c r="C15" s="318"/>
      <c r="D15" s="318"/>
      <c r="E15" s="318"/>
      <c r="F15" s="318"/>
    </row>
    <row r="16" spans="1:13" ht="15.75" x14ac:dyDescent="0.25">
      <c r="A16" s="326" t="s">
        <v>192</v>
      </c>
      <c r="B16" s="326"/>
      <c r="C16" s="326"/>
      <c r="D16" s="326"/>
      <c r="E16" s="326"/>
      <c r="F16" s="326"/>
    </row>
    <row r="17" spans="1:8" s="51" customFormat="1" ht="15.75" x14ac:dyDescent="0.25">
      <c r="A17" s="155"/>
      <c r="B17" s="155"/>
      <c r="C17" s="155"/>
      <c r="D17" s="155"/>
      <c r="E17" s="155"/>
      <c r="F17" s="155"/>
      <c r="G17" s="148"/>
      <c r="H17" s="148"/>
    </row>
    <row r="18" spans="1:8" s="51" customFormat="1" ht="15.75" x14ac:dyDescent="0.25">
      <c r="A18" s="155"/>
      <c r="B18" s="155"/>
      <c r="C18" s="155"/>
      <c r="D18" s="155"/>
      <c r="E18" s="155"/>
      <c r="F18" s="155"/>
      <c r="G18" s="148"/>
      <c r="H18" s="148"/>
    </row>
    <row r="19" spans="1:8" s="51" customFormat="1" ht="15.75" x14ac:dyDescent="0.25">
      <c r="A19" s="155"/>
      <c r="B19" s="155"/>
      <c r="C19" s="155"/>
      <c r="D19" s="155"/>
      <c r="E19" s="155"/>
      <c r="F19" s="155"/>
      <c r="G19" s="148"/>
      <c r="H19" s="148"/>
    </row>
    <row r="20" spans="1:8" s="51" customFormat="1" ht="15.75" x14ac:dyDescent="0.25">
      <c r="A20" s="155"/>
      <c r="B20" s="155"/>
      <c r="C20" s="155"/>
      <c r="D20" s="155"/>
      <c r="E20" s="155"/>
      <c r="F20" s="155"/>
      <c r="G20" s="148"/>
      <c r="H20" s="148"/>
    </row>
    <row r="21" spans="1:8" s="51" customFormat="1" ht="15.75" x14ac:dyDescent="0.25">
      <c r="A21" s="155"/>
      <c r="B21" s="155"/>
      <c r="C21" s="155"/>
      <c r="D21" s="155"/>
      <c r="E21" s="155"/>
      <c r="F21" s="155"/>
      <c r="G21" s="148"/>
      <c r="H21" s="148"/>
    </row>
    <row r="22" spans="1:8" s="51" customFormat="1" ht="15.75" x14ac:dyDescent="0.25">
      <c r="A22" s="155"/>
      <c r="B22" s="155"/>
      <c r="C22" s="155"/>
      <c r="D22" s="155"/>
      <c r="E22" s="155"/>
      <c r="F22" s="155"/>
      <c r="G22" s="148"/>
      <c r="H22" s="148"/>
    </row>
    <row r="23" spans="1:8" s="51" customFormat="1" ht="15.75" x14ac:dyDescent="0.25">
      <c r="A23" s="155"/>
      <c r="B23" s="155"/>
      <c r="C23" s="155"/>
      <c r="D23" s="155"/>
      <c r="E23" s="155"/>
      <c r="F23" s="155"/>
      <c r="G23" s="148"/>
      <c r="H23" s="148"/>
    </row>
    <row r="24" spans="1:8" s="51" customFormat="1" ht="15.75" x14ac:dyDescent="0.25">
      <c r="A24" s="155"/>
      <c r="B24" s="155"/>
      <c r="C24" s="155"/>
      <c r="D24" s="155"/>
      <c r="E24" s="155"/>
      <c r="F24" s="155"/>
      <c r="G24" s="148"/>
      <c r="H24" s="148"/>
    </row>
    <row r="25" spans="1:8" s="51" customFormat="1" ht="15.75" x14ac:dyDescent="0.25">
      <c r="A25" s="155"/>
      <c r="B25" s="155"/>
      <c r="C25" s="155"/>
      <c r="D25" s="155"/>
      <c r="E25" s="155"/>
      <c r="F25" s="155"/>
      <c r="G25" s="148"/>
      <c r="H25" s="148"/>
    </row>
    <row r="26" spans="1:8" s="51" customFormat="1" ht="15.75" x14ac:dyDescent="0.25">
      <c r="A26" s="155"/>
      <c r="B26" s="155"/>
      <c r="C26" s="155"/>
      <c r="D26" s="155"/>
      <c r="E26" s="155"/>
      <c r="F26" s="155"/>
      <c r="G26" s="148"/>
      <c r="H26" s="148"/>
    </row>
    <row r="27" spans="1:8" s="51" customFormat="1" ht="15.75" x14ac:dyDescent="0.25">
      <c r="A27" s="155"/>
      <c r="B27" s="155"/>
      <c r="C27" s="155"/>
      <c r="D27" s="155"/>
      <c r="E27" s="155"/>
      <c r="F27" s="155"/>
      <c r="G27" s="148"/>
      <c r="H27" s="148"/>
    </row>
    <row r="28" spans="1:8" s="51" customFormat="1" ht="15.75" x14ac:dyDescent="0.25">
      <c r="A28" s="155"/>
      <c r="B28" s="155"/>
      <c r="C28" s="155"/>
      <c r="D28" s="155"/>
      <c r="E28" s="155"/>
      <c r="F28" s="155"/>
      <c r="G28" s="148"/>
      <c r="H28" s="148"/>
    </row>
    <row r="29" spans="1:8" s="51" customFormat="1" ht="15.75" x14ac:dyDescent="0.25">
      <c r="A29" s="155"/>
      <c r="B29" s="155"/>
      <c r="C29" s="155"/>
      <c r="D29" s="155"/>
      <c r="E29" s="155"/>
      <c r="F29" s="155"/>
      <c r="G29" s="148"/>
      <c r="H29" s="148"/>
    </row>
    <row r="30" spans="1:8" s="51" customFormat="1" ht="15.75" x14ac:dyDescent="0.25">
      <c r="A30" s="155"/>
      <c r="B30" s="155"/>
      <c r="C30" s="155"/>
      <c r="D30" s="155"/>
      <c r="E30" s="155"/>
      <c r="F30" s="155"/>
      <c r="G30" s="148"/>
      <c r="H30" s="148"/>
    </row>
    <row r="31" spans="1:8" s="51" customFormat="1" ht="15.75" x14ac:dyDescent="0.25">
      <c r="A31" s="155"/>
      <c r="B31" s="155"/>
      <c r="C31" s="155"/>
      <c r="D31" s="155"/>
      <c r="E31" s="155"/>
      <c r="F31" s="155"/>
      <c r="G31" s="148"/>
      <c r="H31" s="148"/>
    </row>
    <row r="32" spans="1:8" s="51" customFormat="1" ht="15.75" x14ac:dyDescent="0.25">
      <c r="A32" s="155"/>
      <c r="B32" s="155"/>
      <c r="C32" s="155"/>
      <c r="D32" s="155"/>
      <c r="E32" s="155"/>
      <c r="F32" s="155"/>
      <c r="G32" s="148"/>
      <c r="H32" s="148"/>
    </row>
    <row r="33" spans="1:8" s="51" customFormat="1" ht="15.75" x14ac:dyDescent="0.25">
      <c r="A33" s="155"/>
      <c r="B33" s="155"/>
      <c r="C33" s="155"/>
      <c r="D33" s="155"/>
      <c r="E33" s="155"/>
      <c r="F33" s="155"/>
      <c r="G33" s="148"/>
      <c r="H33" s="148"/>
    </row>
    <row r="34" spans="1:8" s="51" customFormat="1" ht="15.75" x14ac:dyDescent="0.25">
      <c r="A34" s="155"/>
      <c r="B34" s="155"/>
      <c r="C34" s="155"/>
      <c r="D34" s="155"/>
      <c r="E34" s="155"/>
      <c r="F34" s="155"/>
      <c r="G34" s="148"/>
      <c r="H34" s="148"/>
    </row>
    <row r="35" spans="1:8" s="51" customFormat="1" ht="15.75" x14ac:dyDescent="0.25">
      <c r="A35" s="155"/>
      <c r="B35" s="155"/>
      <c r="C35" s="155"/>
      <c r="D35" s="155"/>
      <c r="E35" s="155"/>
      <c r="F35" s="155"/>
      <c r="G35" s="148"/>
      <c r="H35" s="148"/>
    </row>
    <row r="36" spans="1:8" s="51" customFormat="1" ht="15.75" x14ac:dyDescent="0.25">
      <c r="A36" s="155"/>
      <c r="B36" s="155"/>
      <c r="C36" s="155"/>
      <c r="D36" s="155"/>
      <c r="E36" s="155"/>
      <c r="F36" s="155"/>
      <c r="G36" s="148"/>
      <c r="H36" s="148"/>
    </row>
    <row r="37" spans="1:8" s="51" customFormat="1" ht="15.75" x14ac:dyDescent="0.25">
      <c r="A37" s="155"/>
      <c r="B37" s="155"/>
      <c r="C37" s="155"/>
      <c r="D37" s="155"/>
      <c r="E37" s="155"/>
      <c r="F37" s="155"/>
      <c r="G37" s="148"/>
      <c r="H37" s="148"/>
    </row>
    <row r="38" spans="1:8" s="51" customFormat="1" ht="15.75" x14ac:dyDescent="0.25">
      <c r="A38" s="155"/>
      <c r="B38" s="155"/>
      <c r="C38" s="155"/>
      <c r="D38" s="155"/>
      <c r="E38" s="155"/>
      <c r="F38" s="155"/>
      <c r="G38" s="148"/>
      <c r="H38" s="148"/>
    </row>
    <row r="39" spans="1:8" s="51" customFormat="1" ht="15.75" x14ac:dyDescent="0.25">
      <c r="A39" s="155"/>
      <c r="B39" s="155"/>
      <c r="C39" s="155"/>
      <c r="D39" s="155"/>
      <c r="E39" s="155"/>
      <c r="F39" s="155"/>
      <c r="G39" s="148"/>
      <c r="H39" s="148"/>
    </row>
    <row r="40" spans="1:8" s="51" customFormat="1" ht="15.75" x14ac:dyDescent="0.25">
      <c r="A40" s="242" t="s">
        <v>436</v>
      </c>
      <c r="B40" s="243" t="s">
        <v>437</v>
      </c>
      <c r="C40" s="241"/>
      <c r="D40" s="241"/>
      <c r="E40" s="241"/>
      <c r="F40" s="241"/>
      <c r="G40" s="148"/>
      <c r="H40" s="148"/>
    </row>
    <row r="41" spans="1:8" s="51" customFormat="1" ht="30.75" customHeight="1" x14ac:dyDescent="0.25">
      <c r="A41" s="319" t="s">
        <v>193</v>
      </c>
      <c r="B41" s="319"/>
      <c r="C41" s="319"/>
      <c r="D41" s="319"/>
      <c r="E41" s="319"/>
      <c r="F41" s="319"/>
      <c r="G41" s="319"/>
      <c r="H41" s="148"/>
    </row>
    <row r="42" spans="1:8" ht="15" customHeight="1" x14ac:dyDescent="0.25">
      <c r="A42" s="154" t="s">
        <v>198</v>
      </c>
      <c r="B42" s="154"/>
      <c r="C42" s="154"/>
      <c r="D42" s="154"/>
      <c r="E42" s="154"/>
      <c r="F42" s="156"/>
    </row>
    <row r="43" spans="1:8" s="51" customFormat="1" ht="15" customHeight="1" x14ac:dyDescent="0.25">
      <c r="A43" s="154"/>
      <c r="B43" s="154" t="s">
        <v>194</v>
      </c>
      <c r="C43" s="154"/>
      <c r="D43" s="154"/>
      <c r="E43" s="154"/>
      <c r="F43" s="156"/>
      <c r="G43" s="148"/>
      <c r="H43" s="148"/>
    </row>
    <row r="44" spans="1:8" s="51" customFormat="1" ht="15" customHeight="1" x14ac:dyDescent="0.25">
      <c r="A44" s="154"/>
      <c r="B44" s="154" t="s">
        <v>195</v>
      </c>
      <c r="C44" s="154"/>
      <c r="D44" s="154"/>
      <c r="E44" s="154"/>
      <c r="F44" s="156"/>
      <c r="G44" s="148"/>
      <c r="H44" s="148"/>
    </row>
    <row r="45" spans="1:8" s="51" customFormat="1" ht="15" customHeight="1" x14ac:dyDescent="0.25">
      <c r="A45" s="154"/>
      <c r="B45" s="154" t="s">
        <v>196</v>
      </c>
      <c r="C45" s="154"/>
      <c r="D45" s="154"/>
      <c r="E45" s="154"/>
      <c r="F45" s="156"/>
      <c r="G45" s="148"/>
      <c r="H45" s="148"/>
    </row>
    <row r="46" spans="1:8" s="51" customFormat="1" ht="15" customHeight="1" x14ac:dyDescent="0.25">
      <c r="A46" s="154" t="s">
        <v>197</v>
      </c>
      <c r="B46" s="154"/>
      <c r="C46" s="154"/>
      <c r="D46" s="154"/>
      <c r="E46" s="154"/>
      <c r="F46" s="156"/>
      <c r="G46" s="148"/>
      <c r="H46" s="148"/>
    </row>
    <row r="47" spans="1:8" ht="15" customHeight="1" x14ac:dyDescent="0.25">
      <c r="A47" s="154"/>
      <c r="B47" s="154" t="s">
        <v>200</v>
      </c>
      <c r="C47" s="154"/>
      <c r="D47" s="154"/>
      <c r="E47" s="154"/>
      <c r="F47" s="156"/>
    </row>
    <row r="48" spans="1:8" ht="15" customHeight="1" x14ac:dyDescent="0.25">
      <c r="A48" s="154"/>
      <c r="B48" s="154" t="s">
        <v>199</v>
      </c>
      <c r="C48" s="154"/>
      <c r="D48" s="154"/>
      <c r="E48" s="154"/>
      <c r="F48" s="156"/>
    </row>
    <row r="49" spans="1:7" ht="15" customHeight="1" x14ac:dyDescent="0.25">
      <c r="A49" s="154"/>
      <c r="B49" s="154" t="s">
        <v>201</v>
      </c>
      <c r="C49" s="154"/>
      <c r="D49" s="154"/>
      <c r="E49" s="154"/>
      <c r="F49" s="152"/>
    </row>
    <row r="50" spans="1:7" ht="15.75" x14ac:dyDescent="0.25">
      <c r="A50" s="157"/>
      <c r="B50" s="157"/>
      <c r="C50" s="157"/>
      <c r="D50" s="157"/>
      <c r="E50" s="157"/>
      <c r="F50" s="157"/>
    </row>
    <row r="51" spans="1:7" ht="69.75" customHeight="1" x14ac:dyDescent="0.25">
      <c r="A51" s="308" t="s">
        <v>205</v>
      </c>
      <c r="B51" s="308"/>
      <c r="C51" s="308"/>
      <c r="D51" s="308"/>
      <c r="E51" s="308"/>
      <c r="F51" s="308"/>
      <c r="G51" s="308"/>
    </row>
    <row r="52" spans="1:7" ht="15.75" customHeight="1" x14ac:dyDescent="0.25">
      <c r="A52" s="157"/>
      <c r="B52" s="320" t="s">
        <v>211</v>
      </c>
      <c r="C52" s="321"/>
      <c r="D52" s="158" t="s">
        <v>208</v>
      </c>
      <c r="E52" s="159" t="s">
        <v>209</v>
      </c>
      <c r="F52" s="160" t="s">
        <v>210</v>
      </c>
    </row>
    <row r="53" spans="1:7" ht="15.75" customHeight="1" x14ac:dyDescent="0.25">
      <c r="A53" s="157"/>
      <c r="B53" s="322" t="s">
        <v>187</v>
      </c>
      <c r="C53" s="323"/>
      <c r="D53" s="164" t="s">
        <v>181</v>
      </c>
      <c r="E53" s="161"/>
      <c r="F53" s="162"/>
    </row>
    <row r="54" spans="1:7" ht="15.75" customHeight="1" x14ac:dyDescent="0.25">
      <c r="A54" s="157"/>
      <c r="B54" s="322" t="s">
        <v>206</v>
      </c>
      <c r="C54" s="323"/>
      <c r="D54" s="164" t="s">
        <v>181</v>
      </c>
      <c r="E54" s="161" t="s">
        <v>181</v>
      </c>
      <c r="F54" s="162" t="s">
        <v>181</v>
      </c>
    </row>
    <row r="55" spans="1:7" ht="15.75" customHeight="1" x14ac:dyDescent="0.25">
      <c r="A55" s="157"/>
      <c r="B55" s="322" t="s">
        <v>189</v>
      </c>
      <c r="C55" s="323"/>
      <c r="D55" s="164" t="s">
        <v>181</v>
      </c>
      <c r="E55" s="161" t="s">
        <v>181</v>
      </c>
      <c r="F55" s="162"/>
    </row>
    <row r="56" spans="1:7" ht="15.75" customHeight="1" x14ac:dyDescent="0.25">
      <c r="A56" s="157"/>
      <c r="B56" s="322" t="s">
        <v>207</v>
      </c>
      <c r="C56" s="323"/>
      <c r="D56" s="164" t="s">
        <v>181</v>
      </c>
      <c r="E56" s="161" t="s">
        <v>181</v>
      </c>
      <c r="F56" s="162" t="s">
        <v>181</v>
      </c>
    </row>
    <row r="57" spans="1:7" ht="15.75" x14ac:dyDescent="0.25">
      <c r="A57" s="157"/>
      <c r="B57" s="316" t="s">
        <v>191</v>
      </c>
      <c r="C57" s="317"/>
      <c r="D57" s="165" t="s">
        <v>181</v>
      </c>
      <c r="E57" s="146" t="s">
        <v>181</v>
      </c>
      <c r="F57" s="147" t="s">
        <v>181</v>
      </c>
    </row>
    <row r="58" spans="1:7" ht="15.75" x14ac:dyDescent="0.25">
      <c r="A58" s="157"/>
      <c r="B58" s="157"/>
      <c r="C58" s="157"/>
      <c r="D58" s="157"/>
      <c r="E58" s="157"/>
      <c r="F58" s="157"/>
    </row>
    <row r="59" spans="1:7" ht="47.25" customHeight="1" x14ac:dyDescent="0.25">
      <c r="A59" s="308" t="s">
        <v>213</v>
      </c>
      <c r="B59" s="308"/>
      <c r="C59" s="308"/>
      <c r="D59" s="308"/>
      <c r="E59" s="308"/>
      <c r="F59" s="308"/>
      <c r="G59" s="308"/>
    </row>
    <row r="60" spans="1:7" ht="15.75" x14ac:dyDescent="0.25">
      <c r="A60" s="157"/>
      <c r="B60" s="157"/>
      <c r="C60" s="157"/>
      <c r="D60" s="157"/>
      <c r="E60" s="157"/>
      <c r="F60" s="157"/>
    </row>
    <row r="61" spans="1:7" x14ac:dyDescent="0.25">
      <c r="A61" s="309" t="s">
        <v>466</v>
      </c>
      <c r="B61" s="309"/>
      <c r="C61" s="309"/>
      <c r="D61" s="309"/>
      <c r="E61" s="309"/>
      <c r="F61" s="309"/>
      <c r="G61" s="309"/>
    </row>
    <row r="62" spans="1:7" ht="15.75" x14ac:dyDescent="0.25">
      <c r="A62" s="157"/>
      <c r="B62" s="157"/>
      <c r="C62" s="157"/>
      <c r="D62" s="157"/>
      <c r="E62" s="157"/>
      <c r="F62" s="157"/>
    </row>
    <row r="63" spans="1:7" ht="15.75" x14ac:dyDescent="0.25">
      <c r="A63" s="315" t="s">
        <v>449</v>
      </c>
      <c r="B63" s="315"/>
      <c r="C63" s="315"/>
      <c r="D63" s="306"/>
      <c r="E63" s="306"/>
      <c r="F63" s="306"/>
      <c r="G63" s="307"/>
    </row>
    <row r="64" spans="1:7" ht="47.25" customHeight="1" x14ac:dyDescent="0.25">
      <c r="A64" s="308" t="s">
        <v>459</v>
      </c>
      <c r="B64" s="308"/>
      <c r="C64" s="308"/>
      <c r="D64" s="308"/>
      <c r="E64" s="308"/>
      <c r="F64" s="308"/>
      <c r="G64" s="308"/>
    </row>
    <row r="65" spans="1:8" s="51" customFormat="1" ht="15.75" x14ac:dyDescent="0.25">
      <c r="A65" s="163"/>
      <c r="B65" s="163"/>
      <c r="C65" s="163"/>
      <c r="D65" s="163"/>
      <c r="E65" s="163"/>
      <c r="F65" s="163"/>
      <c r="G65" s="163"/>
      <c r="H65" s="148"/>
    </row>
    <row r="66" spans="1:8" ht="15.75" x14ac:dyDescent="0.25">
      <c r="A66" s="315" t="s">
        <v>216</v>
      </c>
      <c r="B66" s="315"/>
      <c r="C66" s="315"/>
      <c r="D66" s="306"/>
      <c r="E66" s="306"/>
      <c r="F66" s="306"/>
      <c r="G66" s="307"/>
    </row>
    <row r="67" spans="1:8" ht="33" customHeight="1" x14ac:dyDescent="0.25">
      <c r="A67" s="308" t="s">
        <v>460</v>
      </c>
      <c r="B67" s="308"/>
      <c r="C67" s="308"/>
      <c r="D67" s="308"/>
      <c r="E67" s="308"/>
      <c r="F67" s="308"/>
      <c r="G67" s="308"/>
    </row>
    <row r="68" spans="1:8" s="51" customFormat="1" ht="15.75" x14ac:dyDescent="0.25">
      <c r="A68" s="163"/>
      <c r="B68" s="163"/>
      <c r="C68" s="163"/>
      <c r="D68" s="163"/>
      <c r="E68" s="163"/>
      <c r="F68" s="163"/>
      <c r="G68" s="163"/>
      <c r="H68" s="148"/>
    </row>
    <row r="69" spans="1:8" ht="15.75" x14ac:dyDescent="0.25">
      <c r="A69" s="312" t="s">
        <v>457</v>
      </c>
      <c r="B69" s="312"/>
      <c r="C69" s="312"/>
      <c r="D69" s="304"/>
      <c r="E69" s="304"/>
      <c r="F69" s="304"/>
      <c r="G69" s="305"/>
    </row>
    <row r="70" spans="1:8" ht="31.5" customHeight="1" x14ac:dyDescent="0.25">
      <c r="A70" s="308" t="s">
        <v>467</v>
      </c>
      <c r="B70" s="308"/>
      <c r="C70" s="308"/>
      <c r="D70" s="308"/>
      <c r="E70" s="308"/>
      <c r="F70" s="308"/>
      <c r="G70" s="308"/>
    </row>
    <row r="71" spans="1:8" s="51" customFormat="1" ht="15.75" x14ac:dyDescent="0.25">
      <c r="A71" s="239"/>
      <c r="B71" s="239"/>
      <c r="C71" s="239"/>
      <c r="D71" s="239"/>
      <c r="E71" s="239"/>
      <c r="F71" s="239"/>
      <c r="G71" s="239"/>
      <c r="H71" s="148"/>
    </row>
    <row r="72" spans="1:8" ht="15.75" x14ac:dyDescent="0.25">
      <c r="A72" s="312" t="s">
        <v>458</v>
      </c>
      <c r="B72" s="312"/>
      <c r="C72" s="312"/>
      <c r="D72" s="304"/>
      <c r="E72" s="304"/>
      <c r="F72" s="304"/>
      <c r="G72" s="305"/>
    </row>
    <row r="73" spans="1:8" ht="31.5" customHeight="1" x14ac:dyDescent="0.25">
      <c r="A73" s="313" t="s">
        <v>468</v>
      </c>
      <c r="B73" s="313"/>
      <c r="C73" s="313"/>
      <c r="D73" s="313"/>
      <c r="E73" s="313"/>
      <c r="F73" s="313"/>
      <c r="G73" s="313"/>
    </row>
    <row r="74" spans="1:8" s="51" customFormat="1" ht="15.75" x14ac:dyDescent="0.25">
      <c r="A74" s="168"/>
      <c r="B74" s="168"/>
      <c r="C74" s="168"/>
      <c r="D74" s="168"/>
      <c r="E74" s="168"/>
      <c r="F74" s="168"/>
      <c r="G74" s="168"/>
      <c r="H74" s="148"/>
    </row>
    <row r="75" spans="1:8" ht="15.75" x14ac:dyDescent="0.25">
      <c r="A75" s="314" t="s">
        <v>217</v>
      </c>
      <c r="B75" s="314"/>
      <c r="C75" s="314"/>
      <c r="D75" s="157"/>
      <c r="E75" s="157"/>
      <c r="F75" s="157"/>
    </row>
    <row r="76" spans="1:8" ht="48" customHeight="1" x14ac:dyDescent="0.25">
      <c r="A76" s="313" t="s">
        <v>461</v>
      </c>
      <c r="B76" s="313"/>
      <c r="C76" s="313"/>
      <c r="D76" s="313"/>
      <c r="E76" s="313"/>
      <c r="F76" s="313"/>
      <c r="G76" s="313"/>
    </row>
    <row r="77" spans="1:8" ht="15.75" x14ac:dyDescent="0.25">
      <c r="A77" s="157"/>
      <c r="B77" s="157"/>
      <c r="C77" s="157"/>
      <c r="D77" s="157"/>
      <c r="E77" s="157"/>
      <c r="F77" s="157"/>
    </row>
    <row r="78" spans="1:8" ht="15.75" x14ac:dyDescent="0.25">
      <c r="A78" s="314" t="s">
        <v>218</v>
      </c>
      <c r="B78" s="314"/>
      <c r="C78" s="314"/>
      <c r="D78" s="157"/>
      <c r="E78" s="157"/>
      <c r="F78" s="157"/>
    </row>
    <row r="79" spans="1:8" ht="32.25" customHeight="1" x14ac:dyDescent="0.25">
      <c r="A79" s="313" t="s">
        <v>462</v>
      </c>
      <c r="B79" s="313"/>
      <c r="C79" s="313"/>
      <c r="D79" s="313"/>
      <c r="E79" s="313"/>
      <c r="F79" s="313"/>
      <c r="G79" s="313"/>
    </row>
    <row r="80" spans="1:8" ht="15.75" x14ac:dyDescent="0.25">
      <c r="A80" s="157"/>
      <c r="B80" s="157"/>
      <c r="C80" s="157"/>
      <c r="D80" s="157"/>
      <c r="E80" s="157"/>
      <c r="F80" s="157"/>
    </row>
    <row r="81" spans="1:8" ht="15.75" x14ac:dyDescent="0.25">
      <c r="A81" s="314" t="s">
        <v>219</v>
      </c>
      <c r="B81" s="314"/>
      <c r="C81" s="314"/>
      <c r="D81" s="157"/>
      <c r="E81" s="157"/>
      <c r="F81" s="157"/>
    </row>
    <row r="82" spans="1:8" ht="15.75" customHeight="1" x14ac:dyDescent="0.25">
      <c r="A82" s="313" t="s">
        <v>463</v>
      </c>
      <c r="B82" s="313"/>
      <c r="C82" s="313"/>
      <c r="D82" s="313"/>
      <c r="E82" s="313"/>
      <c r="F82" s="313"/>
      <c r="G82" s="313"/>
    </row>
    <row r="83" spans="1:8" ht="31.5" customHeight="1" x14ac:dyDescent="0.25">
      <c r="A83" s="313"/>
      <c r="B83" s="313"/>
      <c r="C83" s="313"/>
      <c r="D83" s="313"/>
      <c r="E83" s="313"/>
      <c r="F83" s="313"/>
      <c r="G83" s="313"/>
    </row>
    <row r="84" spans="1:8" ht="15.75" x14ac:dyDescent="0.25">
      <c r="A84" s="157"/>
      <c r="B84" s="157"/>
      <c r="C84" s="157"/>
      <c r="D84" s="157"/>
      <c r="E84" s="157"/>
      <c r="F84" s="157"/>
    </row>
    <row r="85" spans="1:8" ht="15.75" x14ac:dyDescent="0.25">
      <c r="A85" s="314" t="s">
        <v>220</v>
      </c>
      <c r="B85" s="314"/>
      <c r="C85" s="314"/>
      <c r="D85" s="157"/>
      <c r="E85" s="157"/>
      <c r="F85" s="157"/>
    </row>
    <row r="86" spans="1:8" ht="47.25" customHeight="1" x14ac:dyDescent="0.25">
      <c r="A86" s="308" t="s">
        <v>464</v>
      </c>
      <c r="B86" s="308"/>
      <c r="C86" s="308"/>
      <c r="D86" s="308"/>
      <c r="E86" s="308"/>
      <c r="F86" s="308"/>
      <c r="G86" s="308"/>
    </row>
    <row r="87" spans="1:8" ht="15.75" x14ac:dyDescent="0.25">
      <c r="A87" s="157"/>
      <c r="B87" s="157"/>
      <c r="C87" s="157"/>
      <c r="D87" s="157"/>
      <c r="E87" s="157"/>
      <c r="F87" s="157"/>
    </row>
    <row r="88" spans="1:8" ht="15.75" x14ac:dyDescent="0.25">
      <c r="A88" s="314" t="s">
        <v>221</v>
      </c>
      <c r="B88" s="314"/>
      <c r="C88" s="314"/>
      <c r="D88" s="157"/>
      <c r="E88" s="157"/>
      <c r="F88" s="157"/>
    </row>
    <row r="89" spans="1:8" ht="31.5" customHeight="1" x14ac:dyDescent="0.25">
      <c r="A89" s="308" t="s">
        <v>465</v>
      </c>
      <c r="B89" s="308"/>
      <c r="C89" s="308"/>
      <c r="D89" s="308"/>
      <c r="E89" s="308"/>
      <c r="F89" s="308"/>
      <c r="G89" s="308"/>
    </row>
    <row r="90" spans="1:8" ht="15.75" x14ac:dyDescent="0.25">
      <c r="A90" s="157"/>
      <c r="B90" s="157"/>
      <c r="C90" s="157"/>
      <c r="D90" s="157"/>
      <c r="E90" s="157"/>
      <c r="F90" s="157"/>
    </row>
    <row r="91" spans="1:8" x14ac:dyDescent="0.25">
      <c r="A91" s="309" t="s">
        <v>222</v>
      </c>
      <c r="B91" s="309"/>
      <c r="C91" s="309"/>
      <c r="D91" s="309"/>
      <c r="E91" s="309"/>
      <c r="F91" s="309"/>
      <c r="G91" s="309"/>
    </row>
    <row r="92" spans="1:8" ht="15.75" x14ac:dyDescent="0.25">
      <c r="A92" s="157"/>
      <c r="B92" s="157"/>
      <c r="C92" s="157"/>
      <c r="D92" s="157"/>
      <c r="E92" s="157"/>
      <c r="F92" s="157"/>
    </row>
    <row r="93" spans="1:8" ht="15.75" x14ac:dyDescent="0.25">
      <c r="A93" s="61"/>
      <c r="B93" s="157" t="s">
        <v>450</v>
      </c>
      <c r="C93" s="157"/>
      <c r="D93" s="157"/>
      <c r="E93" s="157"/>
      <c r="F93" s="157"/>
    </row>
    <row r="94" spans="1:8" ht="15.75" x14ac:dyDescent="0.25">
      <c r="A94" s="22"/>
      <c r="B94" s="157" t="s">
        <v>453</v>
      </c>
      <c r="C94" s="157"/>
      <c r="D94" s="157"/>
      <c r="E94" s="157"/>
      <c r="F94" s="157"/>
    </row>
    <row r="95" spans="1:8" s="51" customFormat="1" ht="15.75" x14ac:dyDescent="0.25">
      <c r="A95" s="212"/>
      <c r="B95" s="157" t="s">
        <v>451</v>
      </c>
      <c r="C95" s="157"/>
      <c r="D95" s="157"/>
      <c r="E95" s="157"/>
      <c r="F95" s="157"/>
      <c r="G95" s="148"/>
      <c r="H95" s="148"/>
    </row>
    <row r="96" spans="1:8" s="51" customFormat="1" ht="15.75" x14ac:dyDescent="0.25">
      <c r="A96" s="109"/>
      <c r="B96" s="157" t="s">
        <v>452</v>
      </c>
      <c r="C96" s="157"/>
      <c r="D96" s="157"/>
      <c r="E96" s="157"/>
      <c r="F96" s="157"/>
      <c r="G96" s="148"/>
      <c r="H96" s="148"/>
    </row>
    <row r="97" spans="1:7" ht="15.75" x14ac:dyDescent="0.25">
      <c r="A97" s="157"/>
      <c r="B97" s="157"/>
      <c r="C97" s="157"/>
      <c r="D97" s="157"/>
      <c r="E97" s="157"/>
      <c r="F97" s="157"/>
    </row>
    <row r="98" spans="1:7" x14ac:dyDescent="0.25">
      <c r="A98" s="309" t="s">
        <v>223</v>
      </c>
      <c r="B98" s="309"/>
      <c r="C98" s="309"/>
      <c r="D98" s="309"/>
      <c r="E98" s="309"/>
      <c r="F98" s="309"/>
      <c r="G98" s="309"/>
    </row>
    <row r="99" spans="1:7" ht="15.75" x14ac:dyDescent="0.25">
      <c r="A99" s="157"/>
      <c r="B99" s="157"/>
      <c r="C99" s="157"/>
      <c r="D99" s="157"/>
      <c r="E99" s="157"/>
      <c r="F99" s="157"/>
    </row>
    <row r="100" spans="1:7" ht="31.5" customHeight="1" x14ac:dyDescent="0.25">
      <c r="A100" s="169" t="s">
        <v>225</v>
      </c>
      <c r="B100" s="308" t="s">
        <v>224</v>
      </c>
      <c r="C100" s="308"/>
      <c r="D100" s="308"/>
      <c r="E100" s="308"/>
      <c r="F100" s="308"/>
      <c r="G100" s="308"/>
    </row>
    <row r="101" spans="1:7" ht="31.5" customHeight="1" x14ac:dyDescent="0.25">
      <c r="A101" s="169" t="s">
        <v>226</v>
      </c>
      <c r="B101" s="308" t="s">
        <v>227</v>
      </c>
      <c r="C101" s="308"/>
      <c r="D101" s="308"/>
      <c r="E101" s="308"/>
      <c r="F101" s="308"/>
      <c r="G101" s="308"/>
    </row>
    <row r="102" spans="1:7" ht="31.5" customHeight="1" x14ac:dyDescent="0.25">
      <c r="A102" s="169" t="s">
        <v>228</v>
      </c>
      <c r="B102" s="308" t="s">
        <v>239</v>
      </c>
      <c r="C102" s="308"/>
      <c r="D102" s="308"/>
      <c r="E102" s="308"/>
      <c r="F102" s="308"/>
      <c r="G102" s="308"/>
    </row>
    <row r="103" spans="1:7" ht="31.5" customHeight="1" x14ac:dyDescent="0.25">
      <c r="A103" s="169" t="s">
        <v>229</v>
      </c>
      <c r="B103" s="308" t="s">
        <v>230</v>
      </c>
      <c r="C103" s="308"/>
      <c r="D103" s="308"/>
      <c r="E103" s="308"/>
      <c r="F103" s="308"/>
      <c r="G103" s="308"/>
    </row>
    <row r="104" spans="1:7" ht="47.25" customHeight="1" x14ac:dyDescent="0.25">
      <c r="A104" s="169" t="s">
        <v>232</v>
      </c>
      <c r="B104" s="308" t="s">
        <v>231</v>
      </c>
      <c r="C104" s="308"/>
      <c r="D104" s="308"/>
      <c r="E104" s="308"/>
      <c r="F104" s="308"/>
      <c r="G104" s="308"/>
    </row>
    <row r="105" spans="1:7" ht="15.75" x14ac:dyDescent="0.25">
      <c r="A105" s="157" t="s">
        <v>233</v>
      </c>
      <c r="B105" s="310" t="s">
        <v>240</v>
      </c>
      <c r="C105" s="310"/>
      <c r="D105" s="310"/>
      <c r="E105" s="310"/>
      <c r="F105" s="310"/>
      <c r="G105" s="310"/>
    </row>
    <row r="106" spans="1:7" ht="47.25" x14ac:dyDescent="0.25">
      <c r="A106" s="172" t="s">
        <v>247</v>
      </c>
      <c r="B106" s="308" t="s">
        <v>234</v>
      </c>
      <c r="C106" s="308"/>
      <c r="D106" s="308"/>
      <c r="E106" s="308"/>
      <c r="F106" s="308"/>
      <c r="G106" s="308"/>
    </row>
    <row r="107" spans="1:7" ht="31.5" customHeight="1" x14ac:dyDescent="0.25">
      <c r="A107" s="163" t="s">
        <v>235</v>
      </c>
      <c r="B107" s="308" t="s">
        <v>236</v>
      </c>
      <c r="C107" s="308"/>
      <c r="D107" s="308"/>
      <c r="E107" s="308"/>
      <c r="F107" s="308"/>
      <c r="G107" s="308"/>
    </row>
    <row r="108" spans="1:7" ht="15.75" x14ac:dyDescent="0.25">
      <c r="A108" s="157" t="s">
        <v>238</v>
      </c>
      <c r="B108" s="308" t="s">
        <v>237</v>
      </c>
      <c r="C108" s="308"/>
      <c r="D108" s="308"/>
      <c r="E108" s="308"/>
      <c r="F108" s="308"/>
      <c r="G108" s="308"/>
    </row>
    <row r="109" spans="1:7" ht="15.75" x14ac:dyDescent="0.25">
      <c r="A109" s="157" t="s">
        <v>242</v>
      </c>
      <c r="B109" s="311" t="s">
        <v>241</v>
      </c>
      <c r="C109" s="311"/>
      <c r="D109" s="311"/>
      <c r="E109" s="311"/>
      <c r="F109" s="311"/>
      <c r="G109" s="311"/>
    </row>
    <row r="110" spans="1:7" ht="47.25" x14ac:dyDescent="0.25">
      <c r="A110" s="163" t="s">
        <v>246</v>
      </c>
      <c r="B110" s="308" t="s">
        <v>243</v>
      </c>
      <c r="C110" s="308"/>
      <c r="D110" s="308"/>
      <c r="E110" s="308"/>
      <c r="F110" s="308"/>
      <c r="G110" s="308"/>
    </row>
    <row r="111" spans="1:7" ht="47.25" x14ac:dyDescent="0.25">
      <c r="A111" s="163" t="s">
        <v>245</v>
      </c>
      <c r="B111" s="308" t="s">
        <v>244</v>
      </c>
      <c r="C111" s="308"/>
      <c r="D111" s="308"/>
      <c r="E111" s="308"/>
      <c r="F111" s="308"/>
      <c r="G111" s="308"/>
    </row>
    <row r="112" spans="1:7" ht="31.5" x14ac:dyDescent="0.25">
      <c r="A112" s="163" t="s">
        <v>121</v>
      </c>
      <c r="B112" s="308" t="s">
        <v>248</v>
      </c>
      <c r="C112" s="311"/>
      <c r="D112" s="311"/>
      <c r="E112" s="311"/>
      <c r="F112" s="311"/>
      <c r="G112" s="311"/>
    </row>
    <row r="113" spans="1:8" ht="15.75" x14ac:dyDescent="0.25">
      <c r="A113" s="157" t="s">
        <v>249</v>
      </c>
      <c r="B113" s="311" t="s">
        <v>250</v>
      </c>
      <c r="C113" s="311"/>
      <c r="D113" s="311"/>
      <c r="E113" s="311"/>
      <c r="F113" s="311"/>
      <c r="G113" s="311"/>
    </row>
    <row r="114" spans="1:8" ht="48" customHeight="1" x14ac:dyDescent="0.25">
      <c r="A114" s="169" t="s">
        <v>251</v>
      </c>
      <c r="B114" s="308" t="s">
        <v>252</v>
      </c>
      <c r="C114" s="308"/>
      <c r="D114" s="308"/>
      <c r="E114" s="308"/>
      <c r="F114" s="308"/>
      <c r="G114" s="308"/>
    </row>
    <row r="115" spans="1:8" ht="31.5" customHeight="1" x14ac:dyDescent="0.25">
      <c r="A115" s="66" t="s">
        <v>254</v>
      </c>
      <c r="B115" s="308" t="s">
        <v>253</v>
      </c>
      <c r="C115" s="308"/>
      <c r="D115" s="308"/>
      <c r="E115" s="308"/>
      <c r="F115" s="308"/>
      <c r="G115" s="308"/>
    </row>
    <row r="116" spans="1:8" ht="46.5" customHeight="1" x14ac:dyDescent="0.25">
      <c r="A116" s="173" t="s">
        <v>257</v>
      </c>
      <c r="B116" s="308" t="s">
        <v>256</v>
      </c>
      <c r="C116" s="308"/>
      <c r="D116" s="308"/>
      <c r="E116" s="308"/>
      <c r="F116" s="308"/>
      <c r="G116" s="308"/>
    </row>
    <row r="117" spans="1:8" ht="47.25" customHeight="1" x14ac:dyDescent="0.25">
      <c r="A117" s="173" t="s">
        <v>258</v>
      </c>
      <c r="B117" s="308" t="s">
        <v>259</v>
      </c>
      <c r="C117" s="308"/>
      <c r="D117" s="308"/>
      <c r="E117" s="308"/>
      <c r="F117" s="308"/>
      <c r="G117" s="308"/>
    </row>
    <row r="118" spans="1:8" s="51" customFormat="1" ht="47.25" customHeight="1" x14ac:dyDescent="0.25">
      <c r="A118" s="203" t="s">
        <v>361</v>
      </c>
      <c r="B118" s="308" t="s">
        <v>360</v>
      </c>
      <c r="C118" s="308"/>
      <c r="D118" s="308"/>
      <c r="E118" s="308"/>
      <c r="F118" s="308"/>
      <c r="G118" s="308"/>
      <c r="H118" s="148"/>
    </row>
    <row r="119" spans="1:8" s="51" customFormat="1" ht="47.25" customHeight="1" x14ac:dyDescent="0.25">
      <c r="A119" s="204" t="s">
        <v>371</v>
      </c>
      <c r="B119" s="308" t="s">
        <v>370</v>
      </c>
      <c r="C119" s="308"/>
      <c r="D119" s="308"/>
      <c r="E119" s="308"/>
      <c r="F119" s="308"/>
      <c r="G119" s="308"/>
      <c r="H119" s="148"/>
    </row>
    <row r="120" spans="1:8" s="51" customFormat="1" ht="47.25" customHeight="1" x14ac:dyDescent="0.25">
      <c r="A120" s="237" t="s">
        <v>428</v>
      </c>
      <c r="B120" s="308" t="s">
        <v>429</v>
      </c>
      <c r="C120" s="308"/>
      <c r="D120" s="308"/>
      <c r="E120" s="308"/>
      <c r="F120" s="308"/>
      <c r="G120" s="308"/>
      <c r="H120" s="148"/>
    </row>
    <row r="121" spans="1:8" s="51" customFormat="1" ht="47.25" customHeight="1" x14ac:dyDescent="0.25">
      <c r="A121" s="240" t="s">
        <v>439</v>
      </c>
      <c r="B121" s="308" t="s">
        <v>440</v>
      </c>
      <c r="C121" s="308"/>
      <c r="D121" s="308"/>
      <c r="E121" s="308"/>
      <c r="F121" s="308"/>
      <c r="G121" s="308"/>
      <c r="H121" s="148"/>
    </row>
    <row r="122" spans="1:8" s="51" customFormat="1" ht="47.25" customHeight="1" x14ac:dyDescent="0.25">
      <c r="A122" s="253" t="s">
        <v>442</v>
      </c>
      <c r="B122" s="308" t="s">
        <v>443</v>
      </c>
      <c r="C122" s="308"/>
      <c r="D122" s="308"/>
      <c r="E122" s="308"/>
      <c r="F122" s="308"/>
      <c r="G122" s="308"/>
      <c r="H122" s="148"/>
    </row>
    <row r="123" spans="1:8" ht="15.75" x14ac:dyDescent="0.25">
      <c r="A123" s="157"/>
      <c r="B123" s="157"/>
      <c r="C123" s="157"/>
      <c r="D123" s="157"/>
      <c r="E123" s="157"/>
      <c r="F123" s="157"/>
    </row>
    <row r="124" spans="1:8" ht="15.75" x14ac:dyDescent="0.25">
      <c r="A124" s="157"/>
      <c r="B124" s="157"/>
      <c r="C124" s="157"/>
      <c r="D124" s="157"/>
      <c r="E124" s="157"/>
      <c r="F124" s="157"/>
    </row>
    <row r="125" spans="1:8" ht="15.75" x14ac:dyDescent="0.25">
      <c r="A125" s="157"/>
      <c r="B125" s="157"/>
      <c r="C125" s="157"/>
      <c r="D125" s="157"/>
      <c r="E125" s="157"/>
      <c r="F125" s="157"/>
    </row>
    <row r="126" spans="1:8" ht="15.75" x14ac:dyDescent="0.25">
      <c r="A126" s="157"/>
      <c r="B126" s="157"/>
      <c r="C126" s="157"/>
      <c r="D126" s="157"/>
      <c r="E126" s="157"/>
      <c r="F126" s="157"/>
    </row>
    <row r="127" spans="1:8" ht="15.75" x14ac:dyDescent="0.25">
      <c r="A127" s="157"/>
      <c r="B127" s="157"/>
      <c r="C127" s="157"/>
      <c r="D127" s="157"/>
      <c r="E127" s="157"/>
      <c r="F127" s="157"/>
    </row>
    <row r="128" spans="1:8" ht="15.75" x14ac:dyDescent="0.25">
      <c r="A128" s="157"/>
      <c r="B128" s="157"/>
      <c r="C128" s="157"/>
      <c r="D128" s="157"/>
      <c r="E128" s="157"/>
      <c r="F128" s="157"/>
    </row>
    <row r="129" spans="1:6" ht="15.75" x14ac:dyDescent="0.25">
      <c r="A129" s="157"/>
      <c r="B129" s="157"/>
      <c r="C129" s="157"/>
      <c r="D129" s="157"/>
      <c r="E129" s="157"/>
      <c r="F129" s="157"/>
    </row>
    <row r="130" spans="1:6" ht="15.75" x14ac:dyDescent="0.25">
      <c r="A130" s="157"/>
      <c r="B130" s="157"/>
      <c r="C130" s="157"/>
      <c r="D130" s="157"/>
      <c r="E130" s="157"/>
      <c r="F130" s="157"/>
    </row>
    <row r="131" spans="1:6" ht="15.75" x14ac:dyDescent="0.25">
      <c r="A131" s="157"/>
      <c r="B131" s="157"/>
      <c r="C131" s="157"/>
      <c r="D131" s="157"/>
      <c r="E131" s="157"/>
      <c r="F131" s="157"/>
    </row>
    <row r="132" spans="1:6" ht="15.75" x14ac:dyDescent="0.25">
      <c r="A132" s="157"/>
      <c r="B132" s="157"/>
      <c r="C132" s="157"/>
      <c r="D132" s="157"/>
      <c r="E132" s="157"/>
      <c r="F132" s="157"/>
    </row>
    <row r="133" spans="1:6" ht="15.75" x14ac:dyDescent="0.25">
      <c r="A133" s="157"/>
      <c r="B133" s="157"/>
      <c r="C133" s="157"/>
      <c r="D133" s="157"/>
      <c r="E133" s="157"/>
      <c r="F133" s="157"/>
    </row>
    <row r="134" spans="1:6" ht="15.75" x14ac:dyDescent="0.25">
      <c r="A134" s="157"/>
      <c r="B134" s="157"/>
      <c r="C134" s="157"/>
      <c r="D134" s="157"/>
      <c r="E134" s="157"/>
      <c r="F134" s="157"/>
    </row>
    <row r="135" spans="1:6" ht="15.75" x14ac:dyDescent="0.25">
      <c r="A135" s="157"/>
      <c r="B135" s="157"/>
      <c r="C135" s="157"/>
      <c r="D135" s="157"/>
      <c r="E135" s="157"/>
      <c r="F135" s="157"/>
    </row>
    <row r="136" spans="1:6" ht="15.75" x14ac:dyDescent="0.25">
      <c r="A136" s="157"/>
      <c r="B136" s="157"/>
      <c r="C136" s="157"/>
      <c r="D136" s="157"/>
      <c r="E136" s="157"/>
      <c r="F136" s="157"/>
    </row>
    <row r="137" spans="1:6" ht="15.75" x14ac:dyDescent="0.25">
      <c r="A137" s="157"/>
      <c r="B137" s="157"/>
      <c r="C137" s="157"/>
      <c r="D137" s="157"/>
      <c r="E137" s="157"/>
      <c r="F137" s="157"/>
    </row>
    <row r="138" spans="1:6" ht="15.75" x14ac:dyDescent="0.25">
      <c r="A138" s="157"/>
      <c r="B138" s="157"/>
      <c r="C138" s="157"/>
      <c r="D138" s="157"/>
      <c r="E138" s="157"/>
      <c r="F138" s="157"/>
    </row>
    <row r="139" spans="1:6" ht="15.75" x14ac:dyDescent="0.25">
      <c r="A139" s="157"/>
      <c r="B139" s="157"/>
      <c r="C139" s="157"/>
      <c r="D139" s="157"/>
      <c r="E139" s="157"/>
      <c r="F139" s="157"/>
    </row>
    <row r="140" spans="1:6" ht="15.75" x14ac:dyDescent="0.25">
      <c r="A140" s="157"/>
      <c r="B140" s="157"/>
      <c r="C140" s="157"/>
      <c r="D140" s="157"/>
      <c r="E140" s="157"/>
      <c r="F140" s="157"/>
    </row>
    <row r="141" spans="1:6" ht="15.75" x14ac:dyDescent="0.25">
      <c r="A141" s="157"/>
      <c r="B141" s="157"/>
      <c r="C141" s="157"/>
      <c r="D141" s="157"/>
      <c r="E141" s="157"/>
      <c r="F141" s="157"/>
    </row>
    <row r="142" spans="1:6" ht="15.75" x14ac:dyDescent="0.25">
      <c r="A142" s="157"/>
      <c r="B142" s="157"/>
      <c r="C142" s="157"/>
      <c r="D142" s="157"/>
      <c r="E142" s="157"/>
      <c r="F142" s="157"/>
    </row>
    <row r="143" spans="1:6" ht="15.75" x14ac:dyDescent="0.25">
      <c r="A143" s="157"/>
      <c r="B143" s="157"/>
      <c r="C143" s="157"/>
      <c r="D143" s="157"/>
      <c r="E143" s="157"/>
      <c r="F143" s="157"/>
    </row>
    <row r="144" spans="1:6" ht="15.75" x14ac:dyDescent="0.25">
      <c r="A144" s="157"/>
      <c r="B144" s="157"/>
      <c r="C144" s="157"/>
      <c r="D144" s="157"/>
      <c r="E144" s="157"/>
      <c r="F144" s="157"/>
    </row>
    <row r="145" spans="1:6" ht="15.75" x14ac:dyDescent="0.25">
      <c r="A145" s="157"/>
      <c r="B145" s="157"/>
      <c r="C145" s="157"/>
      <c r="D145" s="157"/>
      <c r="E145" s="157"/>
      <c r="F145" s="157"/>
    </row>
    <row r="146" spans="1:6" ht="15.75" x14ac:dyDescent="0.25">
      <c r="A146" s="157"/>
      <c r="B146" s="157"/>
      <c r="C146" s="157"/>
      <c r="D146" s="157"/>
      <c r="E146" s="157"/>
      <c r="F146" s="157"/>
    </row>
    <row r="147" spans="1:6" ht="15.75" x14ac:dyDescent="0.25">
      <c r="A147" s="157"/>
      <c r="B147" s="157"/>
      <c r="C147" s="157"/>
      <c r="D147" s="157"/>
      <c r="E147" s="157"/>
      <c r="F147" s="157"/>
    </row>
    <row r="148" spans="1:6" ht="15.75" x14ac:dyDescent="0.25">
      <c r="A148" s="157"/>
      <c r="B148" s="157"/>
      <c r="C148" s="157"/>
      <c r="D148" s="157"/>
      <c r="E148" s="157"/>
      <c r="F148" s="157"/>
    </row>
    <row r="149" spans="1:6" ht="15.75" x14ac:dyDescent="0.25">
      <c r="A149" s="157"/>
      <c r="B149" s="157"/>
      <c r="C149" s="157"/>
      <c r="D149" s="157"/>
      <c r="E149" s="157"/>
      <c r="F149" s="157"/>
    </row>
    <row r="150" spans="1:6" ht="15.75" x14ac:dyDescent="0.25">
      <c r="A150" s="157"/>
      <c r="B150" s="157"/>
      <c r="C150" s="157"/>
      <c r="D150" s="157"/>
      <c r="E150" s="157"/>
      <c r="F150" s="157"/>
    </row>
    <row r="151" spans="1:6" ht="15.75" x14ac:dyDescent="0.25">
      <c r="A151" s="157"/>
      <c r="B151" s="157"/>
      <c r="C151" s="157"/>
      <c r="D151" s="157"/>
      <c r="E151" s="157"/>
      <c r="F151" s="157"/>
    </row>
    <row r="152" spans="1:6" ht="15.75" x14ac:dyDescent="0.25">
      <c r="A152" s="157"/>
      <c r="B152" s="157"/>
      <c r="C152" s="157"/>
      <c r="D152" s="157"/>
      <c r="E152" s="157"/>
      <c r="F152" s="157"/>
    </row>
    <row r="153" spans="1:6" ht="15.75" x14ac:dyDescent="0.25">
      <c r="A153" s="157"/>
      <c r="B153" s="157"/>
      <c r="C153" s="157"/>
      <c r="D153" s="157"/>
      <c r="E153" s="157"/>
      <c r="F153" s="157"/>
    </row>
    <row r="154" spans="1:6" ht="15.75" x14ac:dyDescent="0.25">
      <c r="A154" s="157"/>
      <c r="B154" s="157"/>
      <c r="C154" s="157"/>
      <c r="D154" s="157"/>
      <c r="E154" s="157"/>
      <c r="F154" s="157"/>
    </row>
    <row r="155" spans="1:6" ht="15.75" x14ac:dyDescent="0.25">
      <c r="A155" s="157"/>
      <c r="B155" s="157"/>
      <c r="C155" s="157"/>
      <c r="D155" s="157"/>
      <c r="E155" s="157"/>
      <c r="F155" s="157"/>
    </row>
    <row r="156" spans="1:6" ht="15.75" x14ac:dyDescent="0.25">
      <c r="A156" s="157"/>
      <c r="B156" s="157"/>
      <c r="C156" s="157"/>
      <c r="D156" s="157"/>
      <c r="E156" s="157"/>
      <c r="F156" s="157"/>
    </row>
    <row r="157" spans="1:6" ht="15.75" x14ac:dyDescent="0.25">
      <c r="A157" s="157"/>
      <c r="B157" s="157"/>
      <c r="C157" s="157"/>
      <c r="D157" s="157"/>
      <c r="E157" s="157"/>
      <c r="F157" s="157"/>
    </row>
    <row r="158" spans="1:6" ht="15.75" x14ac:dyDescent="0.25">
      <c r="A158" s="157"/>
      <c r="B158" s="157"/>
      <c r="C158" s="157"/>
      <c r="D158" s="157"/>
      <c r="E158" s="157"/>
      <c r="F158" s="157"/>
    </row>
    <row r="159" spans="1:6" ht="15.75" x14ac:dyDescent="0.25">
      <c r="A159" s="157"/>
      <c r="B159" s="157"/>
      <c r="C159" s="157"/>
      <c r="D159" s="157"/>
      <c r="E159" s="157"/>
      <c r="F159" s="157"/>
    </row>
    <row r="160" spans="1:6" ht="15.75" x14ac:dyDescent="0.25">
      <c r="A160" s="157"/>
      <c r="B160" s="157"/>
      <c r="C160" s="157"/>
      <c r="D160" s="157"/>
      <c r="E160" s="157"/>
      <c r="F160" s="157"/>
    </row>
    <row r="161" spans="1:6" ht="15.75" x14ac:dyDescent="0.25">
      <c r="A161" s="157"/>
      <c r="B161" s="157"/>
      <c r="C161" s="157"/>
      <c r="D161" s="157"/>
      <c r="E161" s="157"/>
      <c r="F161" s="157"/>
    </row>
    <row r="162" spans="1:6" ht="15.75" x14ac:dyDescent="0.25">
      <c r="A162" s="157"/>
      <c r="B162" s="157"/>
      <c r="C162" s="157"/>
      <c r="D162" s="157"/>
      <c r="E162" s="157"/>
      <c r="F162" s="157"/>
    </row>
    <row r="163" spans="1:6" ht="15.75" x14ac:dyDescent="0.25">
      <c r="A163" s="157"/>
      <c r="B163" s="157"/>
      <c r="C163" s="157"/>
      <c r="D163" s="157"/>
      <c r="E163" s="157"/>
      <c r="F163" s="157"/>
    </row>
    <row r="164" spans="1:6" ht="15.75" x14ac:dyDescent="0.25">
      <c r="A164" s="157"/>
      <c r="B164" s="157"/>
      <c r="C164" s="157"/>
      <c r="D164" s="157"/>
      <c r="E164" s="157"/>
      <c r="F164" s="157"/>
    </row>
    <row r="165" spans="1:6" ht="15.75" x14ac:dyDescent="0.25">
      <c r="A165" s="157"/>
      <c r="B165" s="157"/>
      <c r="C165" s="157"/>
      <c r="D165" s="157"/>
      <c r="E165" s="157"/>
      <c r="F165" s="157"/>
    </row>
    <row r="166" spans="1:6" ht="15.75" x14ac:dyDescent="0.25">
      <c r="A166" s="157"/>
      <c r="B166" s="157"/>
      <c r="C166" s="157"/>
      <c r="D166" s="157"/>
      <c r="E166" s="157"/>
      <c r="F166" s="157"/>
    </row>
    <row r="167" spans="1:6" ht="15.75" x14ac:dyDescent="0.25">
      <c r="A167" s="157"/>
      <c r="B167" s="157"/>
      <c r="C167" s="157"/>
      <c r="D167" s="157"/>
      <c r="E167" s="157"/>
      <c r="F167" s="157"/>
    </row>
    <row r="168" spans="1:6" ht="15.75" x14ac:dyDescent="0.25">
      <c r="A168" s="157"/>
      <c r="B168" s="157"/>
      <c r="C168" s="157"/>
      <c r="D168" s="157"/>
      <c r="E168" s="157"/>
      <c r="F168" s="157"/>
    </row>
    <row r="169" spans="1:6" ht="15.75" x14ac:dyDescent="0.25">
      <c r="A169" s="157"/>
      <c r="B169" s="157"/>
      <c r="C169" s="157"/>
      <c r="D169" s="157"/>
      <c r="E169" s="157"/>
      <c r="F169" s="157"/>
    </row>
    <row r="170" spans="1:6" ht="15.75" x14ac:dyDescent="0.25">
      <c r="A170" s="157"/>
      <c r="B170" s="157"/>
      <c r="C170" s="157"/>
      <c r="D170" s="157"/>
      <c r="E170" s="157"/>
      <c r="F170" s="157"/>
    </row>
    <row r="171" spans="1:6" ht="15.75" x14ac:dyDescent="0.25">
      <c r="A171" s="157"/>
      <c r="B171" s="157"/>
      <c r="C171" s="157"/>
      <c r="D171" s="157"/>
      <c r="E171" s="157"/>
      <c r="F171" s="157"/>
    </row>
    <row r="172" spans="1:6" ht="15.75" x14ac:dyDescent="0.25">
      <c r="A172" s="157"/>
      <c r="B172" s="157"/>
      <c r="C172" s="157"/>
      <c r="D172" s="157"/>
      <c r="E172" s="157"/>
      <c r="F172" s="157"/>
    </row>
    <row r="173" spans="1:6" ht="15.75" x14ac:dyDescent="0.25">
      <c r="A173" s="157"/>
      <c r="B173" s="157"/>
      <c r="C173" s="157"/>
      <c r="D173" s="157"/>
      <c r="E173" s="157"/>
      <c r="F173" s="157"/>
    </row>
    <row r="174" spans="1:6" ht="15.75" x14ac:dyDescent="0.25">
      <c r="A174" s="157"/>
      <c r="B174" s="157"/>
      <c r="C174" s="157"/>
      <c r="D174" s="157"/>
      <c r="E174" s="157"/>
      <c r="F174" s="157"/>
    </row>
    <row r="175" spans="1:6" ht="15.75" x14ac:dyDescent="0.25">
      <c r="A175" s="157"/>
      <c r="B175" s="157"/>
      <c r="C175" s="157"/>
      <c r="D175" s="157"/>
      <c r="E175" s="157"/>
      <c r="F175" s="157"/>
    </row>
    <row r="176" spans="1:6" ht="15.75" x14ac:dyDescent="0.25">
      <c r="A176" s="157"/>
      <c r="B176" s="157"/>
      <c r="C176" s="157"/>
      <c r="D176" s="157"/>
      <c r="E176" s="157"/>
      <c r="F176" s="157"/>
    </row>
    <row r="177" spans="1:6" ht="15.75" x14ac:dyDescent="0.25">
      <c r="A177" s="157"/>
      <c r="B177" s="157"/>
      <c r="C177" s="157"/>
      <c r="D177" s="157"/>
      <c r="E177" s="157"/>
      <c r="F177" s="157"/>
    </row>
    <row r="178" spans="1:6" ht="15.75" x14ac:dyDescent="0.25">
      <c r="A178" s="157"/>
      <c r="B178" s="157"/>
      <c r="C178" s="157"/>
      <c r="D178" s="157"/>
      <c r="E178" s="157"/>
      <c r="F178" s="157"/>
    </row>
    <row r="179" spans="1:6" ht="15.75" x14ac:dyDescent="0.25">
      <c r="A179" s="157"/>
      <c r="B179" s="157"/>
      <c r="C179" s="157"/>
      <c r="D179" s="157"/>
      <c r="E179" s="157"/>
      <c r="F179" s="157"/>
    </row>
    <row r="180" spans="1:6" ht="15.75" x14ac:dyDescent="0.25">
      <c r="A180" s="157"/>
      <c r="B180" s="157"/>
      <c r="C180" s="157"/>
      <c r="D180" s="157"/>
      <c r="E180" s="157"/>
      <c r="F180" s="157"/>
    </row>
    <row r="181" spans="1:6" ht="15.75" x14ac:dyDescent="0.25">
      <c r="A181" s="157"/>
      <c r="B181" s="157"/>
      <c r="C181" s="157"/>
      <c r="D181" s="157"/>
      <c r="E181" s="157"/>
      <c r="F181" s="157"/>
    </row>
    <row r="182" spans="1:6" ht="15.75" x14ac:dyDescent="0.25">
      <c r="A182" s="157"/>
      <c r="B182" s="157"/>
      <c r="C182" s="157"/>
      <c r="D182" s="157"/>
      <c r="E182" s="157"/>
      <c r="F182" s="157"/>
    </row>
    <row r="183" spans="1:6" ht="15.75" x14ac:dyDescent="0.25">
      <c r="A183" s="157"/>
      <c r="B183" s="157"/>
      <c r="C183" s="157"/>
      <c r="D183" s="157"/>
      <c r="E183" s="157"/>
      <c r="F183" s="157"/>
    </row>
    <row r="184" spans="1:6" ht="15.75" x14ac:dyDescent="0.25">
      <c r="A184" s="157"/>
      <c r="B184" s="157"/>
      <c r="C184" s="157"/>
      <c r="D184" s="157"/>
      <c r="E184" s="157"/>
      <c r="F184" s="157"/>
    </row>
    <row r="185" spans="1:6" ht="15.75" x14ac:dyDescent="0.25">
      <c r="A185" s="157"/>
      <c r="B185" s="157"/>
      <c r="C185" s="157"/>
      <c r="D185" s="157"/>
      <c r="E185" s="157"/>
      <c r="F185" s="157"/>
    </row>
    <row r="186" spans="1:6" ht="15.75" x14ac:dyDescent="0.25">
      <c r="A186" s="157"/>
      <c r="B186" s="157"/>
      <c r="C186" s="157"/>
      <c r="D186" s="157"/>
      <c r="E186" s="157"/>
      <c r="F186" s="157"/>
    </row>
    <row r="187" spans="1:6" ht="15.75" x14ac:dyDescent="0.25">
      <c r="A187" s="157"/>
      <c r="B187" s="157"/>
      <c r="C187" s="157"/>
      <c r="D187" s="157"/>
      <c r="E187" s="157"/>
      <c r="F187" s="157"/>
    </row>
    <row r="188" spans="1:6" ht="15.75" x14ac:dyDescent="0.25">
      <c r="A188" s="157"/>
      <c r="B188" s="157"/>
      <c r="C188" s="157"/>
      <c r="D188" s="157"/>
      <c r="E188" s="157"/>
      <c r="F188" s="157"/>
    </row>
    <row r="189" spans="1:6" ht="15.75" x14ac:dyDescent="0.25">
      <c r="A189" s="157"/>
      <c r="B189" s="157"/>
      <c r="C189" s="157"/>
      <c r="D189" s="157"/>
      <c r="E189" s="157"/>
      <c r="F189" s="157"/>
    </row>
    <row r="190" spans="1:6" ht="15.75" x14ac:dyDescent="0.25">
      <c r="A190" s="157"/>
      <c r="B190" s="157"/>
      <c r="C190" s="157"/>
      <c r="D190" s="157"/>
      <c r="E190" s="157"/>
      <c r="F190" s="157"/>
    </row>
    <row r="191" spans="1:6" ht="15.75" x14ac:dyDescent="0.25">
      <c r="A191" s="157"/>
      <c r="B191" s="157"/>
      <c r="C191" s="157"/>
      <c r="D191" s="157"/>
      <c r="E191" s="157"/>
      <c r="F191" s="157"/>
    </row>
    <row r="192" spans="1:6" ht="15.75" x14ac:dyDescent="0.25">
      <c r="A192" s="157"/>
      <c r="B192" s="157"/>
      <c r="C192" s="157"/>
      <c r="D192" s="157"/>
      <c r="E192" s="157"/>
      <c r="F192" s="157"/>
    </row>
    <row r="193" spans="1:6" ht="15.75" x14ac:dyDescent="0.25">
      <c r="A193" s="157"/>
      <c r="B193" s="157"/>
      <c r="C193" s="157"/>
      <c r="D193" s="157"/>
      <c r="E193" s="157"/>
      <c r="F193" s="157"/>
    </row>
    <row r="194" spans="1:6" ht="15.75" x14ac:dyDescent="0.25">
      <c r="A194" s="157"/>
      <c r="B194" s="157"/>
      <c r="C194" s="157"/>
      <c r="D194" s="157"/>
      <c r="E194" s="157"/>
      <c r="F194" s="157"/>
    </row>
    <row r="195" spans="1:6" ht="15.75" x14ac:dyDescent="0.25">
      <c r="A195" s="157"/>
      <c r="B195" s="157"/>
      <c r="C195" s="157"/>
      <c r="D195" s="157"/>
      <c r="E195" s="157"/>
      <c r="F195" s="157"/>
    </row>
    <row r="196" spans="1:6" ht="15.75" x14ac:dyDescent="0.25">
      <c r="A196" s="157"/>
      <c r="B196" s="157"/>
      <c r="C196" s="157"/>
      <c r="D196" s="157"/>
      <c r="E196" s="157"/>
      <c r="F196" s="157"/>
    </row>
    <row r="197" spans="1:6" ht="15.75" x14ac:dyDescent="0.25">
      <c r="A197" s="157"/>
      <c r="B197" s="157"/>
      <c r="C197" s="157"/>
      <c r="D197" s="157"/>
      <c r="E197" s="157"/>
      <c r="F197" s="157"/>
    </row>
    <row r="198" spans="1:6" ht="15.75" x14ac:dyDescent="0.25">
      <c r="A198" s="157"/>
      <c r="B198" s="157"/>
      <c r="C198" s="157"/>
      <c r="D198" s="157"/>
      <c r="E198" s="157"/>
      <c r="F198" s="157"/>
    </row>
    <row r="199" spans="1:6" ht="15.75" x14ac:dyDescent="0.25">
      <c r="A199" s="157"/>
      <c r="B199" s="157"/>
      <c r="C199" s="157"/>
      <c r="D199" s="157"/>
      <c r="E199" s="157"/>
      <c r="F199" s="157"/>
    </row>
    <row r="200" spans="1:6" ht="15.75" x14ac:dyDescent="0.25">
      <c r="A200" s="157"/>
      <c r="B200" s="157"/>
      <c r="C200" s="157"/>
      <c r="D200" s="157"/>
      <c r="E200" s="157"/>
      <c r="F200" s="157"/>
    </row>
    <row r="201" spans="1:6" ht="15.75" x14ac:dyDescent="0.25">
      <c r="A201" s="157"/>
      <c r="B201" s="157"/>
      <c r="C201" s="157"/>
      <c r="D201" s="157"/>
      <c r="E201" s="157"/>
      <c r="F201" s="157"/>
    </row>
    <row r="202" spans="1:6" ht="15.75" x14ac:dyDescent="0.25">
      <c r="A202" s="157"/>
      <c r="B202" s="157"/>
      <c r="C202" s="157"/>
      <c r="D202" s="157"/>
      <c r="E202" s="157"/>
      <c r="F202" s="157"/>
    </row>
    <row r="203" spans="1:6" ht="15.75" x14ac:dyDescent="0.25">
      <c r="A203" s="157"/>
      <c r="B203" s="157"/>
      <c r="C203" s="157"/>
      <c r="D203" s="157"/>
      <c r="E203" s="157"/>
      <c r="F203" s="157"/>
    </row>
    <row r="204" spans="1:6" ht="15.75" x14ac:dyDescent="0.25">
      <c r="A204" s="157"/>
      <c r="B204" s="157"/>
      <c r="C204" s="157"/>
      <c r="D204" s="157"/>
      <c r="E204" s="157"/>
      <c r="F204" s="157"/>
    </row>
    <row r="205" spans="1:6" ht="15.75" x14ac:dyDescent="0.25">
      <c r="A205" s="157"/>
      <c r="B205" s="157"/>
      <c r="C205" s="157"/>
      <c r="D205" s="157"/>
      <c r="E205" s="157"/>
      <c r="F205" s="157"/>
    </row>
    <row r="206" spans="1:6" ht="15.75" x14ac:dyDescent="0.25">
      <c r="A206" s="157"/>
      <c r="B206" s="157"/>
      <c r="C206" s="157"/>
      <c r="D206" s="157"/>
      <c r="E206" s="157"/>
      <c r="F206" s="157"/>
    </row>
    <row r="207" spans="1:6" ht="15.75" x14ac:dyDescent="0.25">
      <c r="A207" s="157"/>
      <c r="B207" s="157"/>
      <c r="C207" s="157"/>
      <c r="D207" s="157"/>
      <c r="E207" s="157"/>
      <c r="F207" s="157"/>
    </row>
    <row r="208" spans="1:6" ht="15.75" x14ac:dyDescent="0.25">
      <c r="A208" s="157"/>
      <c r="B208" s="157"/>
      <c r="C208" s="157"/>
      <c r="D208" s="157"/>
      <c r="E208" s="157"/>
      <c r="F208" s="157"/>
    </row>
    <row r="209" spans="1:6" ht="15.75" x14ac:dyDescent="0.25">
      <c r="A209" s="157"/>
      <c r="B209" s="157"/>
      <c r="C209" s="157"/>
      <c r="D209" s="157"/>
      <c r="E209" s="157"/>
      <c r="F209" s="157"/>
    </row>
    <row r="210" spans="1:6" ht="15.75" x14ac:dyDescent="0.25">
      <c r="A210" s="157"/>
      <c r="B210" s="157"/>
      <c r="C210" s="157"/>
      <c r="D210" s="157"/>
      <c r="E210" s="157"/>
      <c r="F210" s="157"/>
    </row>
    <row r="211" spans="1:6" ht="15.75" x14ac:dyDescent="0.25">
      <c r="A211" s="157"/>
      <c r="B211" s="157"/>
      <c r="C211" s="157"/>
      <c r="D211" s="157"/>
      <c r="E211" s="157"/>
      <c r="F211" s="157"/>
    </row>
    <row r="212" spans="1:6" ht="15.75" x14ac:dyDescent="0.25">
      <c r="A212" s="157"/>
      <c r="B212" s="157"/>
      <c r="C212" s="157"/>
      <c r="D212" s="157"/>
      <c r="E212" s="157"/>
      <c r="F212" s="157"/>
    </row>
    <row r="213" spans="1:6" ht="15.75" x14ac:dyDescent="0.25">
      <c r="A213" s="157"/>
      <c r="B213" s="157"/>
      <c r="C213" s="157"/>
      <c r="D213" s="157"/>
      <c r="E213" s="157"/>
      <c r="F213" s="157"/>
    </row>
    <row r="214" spans="1:6" ht="15.75" x14ac:dyDescent="0.25">
      <c r="A214" s="157"/>
      <c r="B214" s="157"/>
      <c r="C214" s="157"/>
      <c r="D214" s="157"/>
      <c r="E214" s="157"/>
      <c r="F214" s="157"/>
    </row>
    <row r="215" spans="1:6" ht="15.75" x14ac:dyDescent="0.25">
      <c r="A215" s="157"/>
      <c r="B215" s="157"/>
      <c r="C215" s="157"/>
      <c r="D215" s="157"/>
      <c r="E215" s="157"/>
      <c r="F215" s="157"/>
    </row>
    <row r="216" spans="1:6" ht="15.75" x14ac:dyDescent="0.25">
      <c r="A216" s="157"/>
      <c r="B216" s="157"/>
      <c r="C216" s="157"/>
      <c r="D216" s="157"/>
      <c r="E216" s="157"/>
      <c r="F216" s="157"/>
    </row>
    <row r="217" spans="1:6" ht="15.75" x14ac:dyDescent="0.25">
      <c r="A217" s="157"/>
      <c r="B217" s="157"/>
      <c r="C217" s="157"/>
      <c r="D217" s="157"/>
      <c r="E217" s="157"/>
      <c r="F217" s="157"/>
    </row>
    <row r="218" spans="1:6" ht="15.75" x14ac:dyDescent="0.25">
      <c r="A218" s="157"/>
      <c r="B218" s="157"/>
      <c r="C218" s="157"/>
      <c r="D218" s="157"/>
      <c r="E218" s="157"/>
      <c r="F218" s="157"/>
    </row>
    <row r="219" spans="1:6" ht="15.75" x14ac:dyDescent="0.25">
      <c r="A219" s="157"/>
      <c r="B219" s="157"/>
      <c r="C219" s="157"/>
      <c r="D219" s="157"/>
      <c r="E219" s="157"/>
      <c r="F219" s="157"/>
    </row>
    <row r="220" spans="1:6" ht="15.75" x14ac:dyDescent="0.25">
      <c r="A220" s="157"/>
      <c r="B220" s="157"/>
      <c r="C220" s="157"/>
      <c r="D220" s="157"/>
      <c r="E220" s="157"/>
      <c r="F220" s="157"/>
    </row>
    <row r="221" spans="1:6" ht="15.75" x14ac:dyDescent="0.25">
      <c r="A221" s="157"/>
      <c r="B221" s="157"/>
      <c r="C221" s="157"/>
      <c r="D221" s="157"/>
      <c r="E221" s="157"/>
      <c r="F221" s="157"/>
    </row>
    <row r="222" spans="1:6" ht="15.75" x14ac:dyDescent="0.25">
      <c r="A222" s="157"/>
      <c r="B222" s="157"/>
      <c r="C222" s="157"/>
      <c r="D222" s="157"/>
      <c r="E222" s="157"/>
      <c r="F222" s="157"/>
    </row>
    <row r="223" spans="1:6" ht="15.75" x14ac:dyDescent="0.25">
      <c r="A223" s="157"/>
      <c r="B223" s="157"/>
      <c r="C223" s="157"/>
      <c r="D223" s="157"/>
      <c r="E223" s="157"/>
      <c r="F223" s="157"/>
    </row>
    <row r="224" spans="1:6" ht="15.75" x14ac:dyDescent="0.25">
      <c r="A224" s="157"/>
      <c r="B224" s="157"/>
      <c r="C224" s="157"/>
      <c r="D224" s="157"/>
      <c r="E224" s="157"/>
      <c r="F224" s="157"/>
    </row>
    <row r="225" spans="1:6" ht="15.75" x14ac:dyDescent="0.25">
      <c r="A225" s="157"/>
      <c r="B225" s="157"/>
      <c r="C225" s="157"/>
      <c r="D225" s="157"/>
      <c r="E225" s="157"/>
      <c r="F225" s="157"/>
    </row>
    <row r="226" spans="1:6" ht="15.75" x14ac:dyDescent="0.25">
      <c r="A226" s="157"/>
      <c r="B226" s="157"/>
      <c r="C226" s="157"/>
      <c r="D226" s="157"/>
      <c r="E226" s="157"/>
      <c r="F226" s="157"/>
    </row>
    <row r="227" spans="1:6" ht="15.75" x14ac:dyDescent="0.25">
      <c r="A227" s="157"/>
      <c r="B227" s="157"/>
      <c r="C227" s="157"/>
      <c r="D227" s="157"/>
      <c r="E227" s="157"/>
      <c r="F227" s="157"/>
    </row>
    <row r="228" spans="1:6" ht="15.75" x14ac:dyDescent="0.25">
      <c r="A228" s="157"/>
      <c r="B228" s="157"/>
      <c r="C228" s="157"/>
      <c r="D228" s="157"/>
      <c r="E228" s="157"/>
      <c r="F228" s="157"/>
    </row>
    <row r="229" spans="1:6" ht="15.75" x14ac:dyDescent="0.25">
      <c r="A229" s="157"/>
      <c r="B229" s="157"/>
      <c r="C229" s="157"/>
      <c r="D229" s="157"/>
      <c r="E229" s="157"/>
      <c r="F229" s="157"/>
    </row>
    <row r="230" spans="1:6" ht="15.75" x14ac:dyDescent="0.25">
      <c r="A230" s="157"/>
      <c r="B230" s="157"/>
      <c r="C230" s="157"/>
      <c r="D230" s="157"/>
      <c r="E230" s="157"/>
      <c r="F230" s="157"/>
    </row>
    <row r="231" spans="1:6" ht="15.75" x14ac:dyDescent="0.25">
      <c r="A231" s="157"/>
      <c r="B231" s="157"/>
      <c r="C231" s="157"/>
      <c r="D231" s="157"/>
      <c r="E231" s="157"/>
      <c r="F231" s="157"/>
    </row>
    <row r="232" spans="1:6" ht="15.75" x14ac:dyDescent="0.25">
      <c r="A232" s="157"/>
      <c r="B232" s="157"/>
      <c r="C232" s="157"/>
      <c r="D232" s="157"/>
      <c r="E232" s="157"/>
      <c r="F232" s="157"/>
    </row>
    <row r="233" spans="1:6" ht="15.75" x14ac:dyDescent="0.25">
      <c r="A233" s="157"/>
      <c r="B233" s="157"/>
      <c r="C233" s="157"/>
      <c r="D233" s="157"/>
      <c r="E233" s="157"/>
      <c r="F233" s="157"/>
    </row>
    <row r="234" spans="1:6" ht="15.75" x14ac:dyDescent="0.25">
      <c r="A234" s="157"/>
      <c r="B234" s="157"/>
      <c r="C234" s="157"/>
      <c r="D234" s="157"/>
      <c r="E234" s="157"/>
      <c r="F234" s="157"/>
    </row>
    <row r="235" spans="1:6" ht="15.75" x14ac:dyDescent="0.25">
      <c r="A235" s="157"/>
      <c r="B235" s="157"/>
      <c r="C235" s="157"/>
      <c r="D235" s="157"/>
      <c r="E235" s="157"/>
      <c r="F235" s="157"/>
    </row>
    <row r="236" spans="1:6" ht="15.75" x14ac:dyDescent="0.25">
      <c r="A236" s="157"/>
      <c r="B236" s="157"/>
      <c r="C236" s="157"/>
      <c r="D236" s="157"/>
      <c r="E236" s="157"/>
      <c r="F236" s="157"/>
    </row>
    <row r="237" spans="1:6" ht="15.75" x14ac:dyDescent="0.25">
      <c r="A237" s="157"/>
      <c r="B237" s="157"/>
      <c r="C237" s="157"/>
      <c r="D237" s="157"/>
      <c r="E237" s="157"/>
      <c r="F237" s="157"/>
    </row>
    <row r="238" spans="1:6" ht="15.75" x14ac:dyDescent="0.25">
      <c r="A238" s="157"/>
      <c r="B238" s="157"/>
      <c r="C238" s="157"/>
      <c r="D238" s="157"/>
      <c r="E238" s="157"/>
      <c r="F238" s="157"/>
    </row>
    <row r="239" spans="1:6" ht="15.75" x14ac:dyDescent="0.25">
      <c r="A239" s="157"/>
      <c r="B239" s="157"/>
      <c r="C239" s="157"/>
      <c r="D239" s="157"/>
      <c r="E239" s="157"/>
      <c r="F239" s="157"/>
    </row>
    <row r="240" spans="1:6" ht="15.75" x14ac:dyDescent="0.25">
      <c r="A240" s="157"/>
      <c r="B240" s="157"/>
      <c r="C240" s="157"/>
      <c r="D240" s="157"/>
      <c r="E240" s="157"/>
      <c r="F240" s="157"/>
    </row>
    <row r="241" spans="1:6" ht="15.75" x14ac:dyDescent="0.25">
      <c r="A241" s="157"/>
      <c r="B241" s="157"/>
      <c r="C241" s="157"/>
      <c r="D241" s="157"/>
      <c r="E241" s="157"/>
      <c r="F241" s="157"/>
    </row>
    <row r="242" spans="1:6" ht="15.75" x14ac:dyDescent="0.25">
      <c r="A242" s="157"/>
      <c r="B242" s="157"/>
      <c r="C242" s="157"/>
      <c r="D242" s="157"/>
      <c r="E242" s="157"/>
      <c r="F242" s="157"/>
    </row>
    <row r="243" spans="1:6" ht="15.75" x14ac:dyDescent="0.25">
      <c r="A243" s="157"/>
      <c r="B243" s="157"/>
      <c r="C243" s="157"/>
      <c r="D243" s="157"/>
      <c r="E243" s="157"/>
      <c r="F243" s="157"/>
    </row>
    <row r="244" spans="1:6" ht="15.75" x14ac:dyDescent="0.25">
      <c r="A244" s="157"/>
      <c r="B244" s="157"/>
      <c r="C244" s="157"/>
      <c r="D244" s="157"/>
      <c r="E244" s="157"/>
      <c r="F244" s="157"/>
    </row>
    <row r="245" spans="1:6" ht="15.75" x14ac:dyDescent="0.25">
      <c r="A245" s="157"/>
      <c r="B245" s="157"/>
      <c r="C245" s="157"/>
      <c r="D245" s="157"/>
      <c r="E245" s="157"/>
      <c r="F245" s="157"/>
    </row>
    <row r="246" spans="1:6" ht="15.75" x14ac:dyDescent="0.25">
      <c r="A246" s="157"/>
      <c r="B246" s="157"/>
      <c r="C246" s="157"/>
      <c r="D246" s="157"/>
      <c r="E246" s="157"/>
      <c r="F246" s="157"/>
    </row>
    <row r="247" spans="1:6" ht="15.75" x14ac:dyDescent="0.25">
      <c r="A247" s="157"/>
      <c r="B247" s="157"/>
      <c r="C247" s="157"/>
      <c r="D247" s="157"/>
      <c r="E247" s="157"/>
      <c r="F247" s="157"/>
    </row>
    <row r="248" spans="1:6" ht="15.75" x14ac:dyDescent="0.25">
      <c r="A248" s="157"/>
      <c r="B248" s="157"/>
      <c r="C248" s="157"/>
      <c r="D248" s="157"/>
      <c r="E248" s="157"/>
      <c r="F248" s="157"/>
    </row>
    <row r="249" spans="1:6" ht="15.75" x14ac:dyDescent="0.25">
      <c r="A249" s="157"/>
      <c r="B249" s="157"/>
      <c r="C249" s="157"/>
      <c r="D249" s="157"/>
      <c r="E249" s="157"/>
      <c r="F249" s="157"/>
    </row>
    <row r="250" spans="1:6" ht="15.75" x14ac:dyDescent="0.25">
      <c r="A250" s="157"/>
      <c r="B250" s="157"/>
      <c r="C250" s="157"/>
      <c r="D250" s="157"/>
      <c r="E250" s="157"/>
      <c r="F250" s="157"/>
    </row>
    <row r="251" spans="1:6" ht="15.75" x14ac:dyDescent="0.25">
      <c r="A251" s="157"/>
      <c r="B251" s="157"/>
      <c r="C251" s="157"/>
      <c r="D251" s="157"/>
      <c r="E251" s="157"/>
      <c r="F251" s="157"/>
    </row>
    <row r="252" spans="1:6" ht="15.75" x14ac:dyDescent="0.25">
      <c r="A252" s="157"/>
      <c r="B252" s="157"/>
      <c r="C252" s="157"/>
      <c r="D252" s="157"/>
      <c r="E252" s="157"/>
      <c r="F252" s="157"/>
    </row>
    <row r="253" spans="1:6" ht="15.75" x14ac:dyDescent="0.25">
      <c r="A253" s="157"/>
      <c r="B253" s="157"/>
      <c r="C253" s="157"/>
      <c r="D253" s="157"/>
      <c r="E253" s="157"/>
      <c r="F253" s="157"/>
    </row>
    <row r="254" spans="1:6" ht="15.75" x14ac:dyDescent="0.25">
      <c r="A254" s="157"/>
      <c r="B254" s="157"/>
      <c r="C254" s="157"/>
      <c r="D254" s="157"/>
      <c r="E254" s="157"/>
      <c r="F254" s="157"/>
    </row>
    <row r="255" spans="1:6" ht="15.75" x14ac:dyDescent="0.25">
      <c r="A255" s="157"/>
      <c r="B255" s="157"/>
      <c r="C255" s="157"/>
      <c r="D255" s="157"/>
      <c r="E255" s="157"/>
      <c r="F255" s="157"/>
    </row>
    <row r="256" spans="1:6" ht="15.75" x14ac:dyDescent="0.25">
      <c r="A256" s="157"/>
      <c r="B256" s="157"/>
      <c r="C256" s="157"/>
      <c r="D256" s="157"/>
      <c r="E256" s="157"/>
      <c r="F256" s="157"/>
    </row>
    <row r="257" spans="1:6" ht="15.75" x14ac:dyDescent="0.25">
      <c r="A257" s="157"/>
      <c r="B257" s="157"/>
      <c r="C257" s="157"/>
      <c r="D257" s="157"/>
      <c r="E257" s="157"/>
      <c r="F257" s="157"/>
    </row>
    <row r="258" spans="1:6" ht="15.75" x14ac:dyDescent="0.25">
      <c r="A258" s="157"/>
      <c r="B258" s="157"/>
      <c r="C258" s="157"/>
      <c r="D258" s="157"/>
      <c r="E258" s="157"/>
      <c r="F258" s="157"/>
    </row>
    <row r="259" spans="1:6" ht="15.75" x14ac:dyDescent="0.25">
      <c r="A259" s="157"/>
      <c r="B259" s="157"/>
      <c r="C259" s="157"/>
      <c r="D259" s="157"/>
      <c r="E259" s="157"/>
      <c r="F259" s="157"/>
    </row>
    <row r="260" spans="1:6" ht="15.75" x14ac:dyDescent="0.25">
      <c r="A260" s="157"/>
      <c r="B260" s="157"/>
      <c r="C260" s="157"/>
      <c r="D260" s="157"/>
      <c r="E260" s="157"/>
      <c r="F260" s="157"/>
    </row>
    <row r="261" spans="1:6" ht="15.75" x14ac:dyDescent="0.25">
      <c r="A261" s="157"/>
      <c r="B261" s="157"/>
      <c r="C261" s="157"/>
      <c r="D261" s="157"/>
      <c r="E261" s="157"/>
      <c r="F261" s="157"/>
    </row>
    <row r="262" spans="1:6" ht="15.75" x14ac:dyDescent="0.25">
      <c r="A262" s="157"/>
      <c r="B262" s="157"/>
      <c r="C262" s="157"/>
      <c r="D262" s="157"/>
      <c r="E262" s="157"/>
      <c r="F262" s="157"/>
    </row>
    <row r="263" spans="1:6" ht="15.75" x14ac:dyDescent="0.25">
      <c r="A263" s="157"/>
      <c r="B263" s="157"/>
      <c r="C263" s="157"/>
      <c r="D263" s="157"/>
      <c r="E263" s="157"/>
      <c r="F263" s="157"/>
    </row>
    <row r="264" spans="1:6" ht="15.75" x14ac:dyDescent="0.25">
      <c r="A264" s="157"/>
      <c r="B264" s="157"/>
      <c r="C264" s="157"/>
      <c r="D264" s="157"/>
      <c r="E264" s="157"/>
      <c r="F264" s="157"/>
    </row>
    <row r="265" spans="1:6" ht="15.75" x14ac:dyDescent="0.25">
      <c r="A265" s="157"/>
      <c r="B265" s="157"/>
      <c r="C265" s="157"/>
      <c r="D265" s="157"/>
      <c r="E265" s="157"/>
      <c r="F265" s="157"/>
    </row>
    <row r="266" spans="1:6" ht="15.75" x14ac:dyDescent="0.25">
      <c r="A266" s="157"/>
      <c r="B266" s="157"/>
      <c r="C266" s="157"/>
      <c r="D266" s="157"/>
      <c r="E266" s="157"/>
      <c r="F266" s="157"/>
    </row>
    <row r="267" spans="1:6" ht="15.75" x14ac:dyDescent="0.25">
      <c r="A267" s="157"/>
      <c r="B267" s="157"/>
      <c r="C267" s="157"/>
      <c r="D267" s="157"/>
      <c r="E267" s="157"/>
      <c r="F267" s="157"/>
    </row>
    <row r="268" spans="1:6" ht="15.75" x14ac:dyDescent="0.25">
      <c r="A268" s="157"/>
      <c r="B268" s="157"/>
      <c r="C268" s="157"/>
      <c r="D268" s="157"/>
      <c r="E268" s="157"/>
      <c r="F268" s="157"/>
    </row>
    <row r="269" spans="1:6" ht="15.75" x14ac:dyDescent="0.25">
      <c r="A269" s="157"/>
      <c r="B269" s="157"/>
      <c r="C269" s="157"/>
      <c r="D269" s="157"/>
      <c r="E269" s="157"/>
      <c r="F269" s="157"/>
    </row>
    <row r="270" spans="1:6" ht="15.75" x14ac:dyDescent="0.25">
      <c r="A270" s="157"/>
      <c r="B270" s="157"/>
      <c r="C270" s="157"/>
      <c r="D270" s="157"/>
      <c r="E270" s="157"/>
      <c r="F270" s="157"/>
    </row>
    <row r="271" spans="1:6" ht="15.75" x14ac:dyDescent="0.25">
      <c r="A271" s="157"/>
      <c r="B271" s="157"/>
      <c r="C271" s="157"/>
      <c r="D271" s="157"/>
      <c r="E271" s="157"/>
      <c r="F271" s="157"/>
    </row>
    <row r="272" spans="1:6" ht="15.75" x14ac:dyDescent="0.25">
      <c r="A272" s="157"/>
      <c r="B272" s="157"/>
      <c r="C272" s="157"/>
      <c r="D272" s="157"/>
      <c r="E272" s="157"/>
      <c r="F272" s="157"/>
    </row>
    <row r="273" spans="1:6" ht="15.75" x14ac:dyDescent="0.25">
      <c r="A273" s="157"/>
      <c r="B273" s="157"/>
      <c r="C273" s="157"/>
      <c r="D273" s="157"/>
      <c r="E273" s="157"/>
      <c r="F273" s="157"/>
    </row>
    <row r="274" spans="1:6" ht="15.75" x14ac:dyDescent="0.25">
      <c r="A274" s="157"/>
      <c r="B274" s="157"/>
      <c r="C274" s="157"/>
      <c r="D274" s="157"/>
      <c r="E274" s="157"/>
      <c r="F274" s="157"/>
    </row>
    <row r="275" spans="1:6" ht="15.75" x14ac:dyDescent="0.25">
      <c r="A275" s="157"/>
      <c r="B275" s="157"/>
      <c r="C275" s="157"/>
      <c r="D275" s="157"/>
      <c r="E275" s="157"/>
      <c r="F275" s="157"/>
    </row>
    <row r="276" spans="1:6" ht="15.75" x14ac:dyDescent="0.25">
      <c r="A276" s="157"/>
      <c r="B276" s="157"/>
      <c r="C276" s="157"/>
      <c r="D276" s="157"/>
      <c r="E276" s="157"/>
      <c r="F276" s="157"/>
    </row>
    <row r="277" spans="1:6" ht="15.75" x14ac:dyDescent="0.25">
      <c r="A277" s="157"/>
      <c r="B277" s="157"/>
      <c r="C277" s="157"/>
      <c r="D277" s="157"/>
      <c r="E277" s="157"/>
      <c r="F277" s="157"/>
    </row>
    <row r="278" spans="1:6" ht="15.75" x14ac:dyDescent="0.25">
      <c r="A278" s="157"/>
      <c r="B278" s="157"/>
      <c r="C278" s="157"/>
      <c r="D278" s="157"/>
      <c r="E278" s="157"/>
      <c r="F278" s="157"/>
    </row>
    <row r="279" spans="1:6" ht="15.75" x14ac:dyDescent="0.25">
      <c r="A279" s="157"/>
      <c r="B279" s="157"/>
      <c r="C279" s="157"/>
      <c r="D279" s="157"/>
      <c r="E279" s="157"/>
      <c r="F279" s="157"/>
    </row>
    <row r="280" spans="1:6" ht="15.75" x14ac:dyDescent="0.25">
      <c r="A280" s="157"/>
      <c r="B280" s="157"/>
      <c r="C280" s="157"/>
      <c r="D280" s="157"/>
      <c r="E280" s="157"/>
      <c r="F280" s="157"/>
    </row>
    <row r="281" spans="1:6" ht="15.75" x14ac:dyDescent="0.25">
      <c r="A281" s="157"/>
      <c r="B281" s="157"/>
      <c r="C281" s="157"/>
      <c r="D281" s="157"/>
      <c r="E281" s="157"/>
      <c r="F281" s="157"/>
    </row>
    <row r="282" spans="1:6" ht="15.75" x14ac:dyDescent="0.25">
      <c r="A282" s="157"/>
      <c r="B282" s="157"/>
      <c r="C282" s="157"/>
      <c r="D282" s="157"/>
      <c r="E282" s="157"/>
      <c r="F282" s="157"/>
    </row>
    <row r="283" spans="1:6" ht="15.75" x14ac:dyDescent="0.25">
      <c r="A283" s="157"/>
      <c r="B283" s="157"/>
      <c r="C283" s="157"/>
      <c r="D283" s="157"/>
      <c r="E283" s="157"/>
      <c r="F283" s="157"/>
    </row>
    <row r="284" spans="1:6" ht="15.75" x14ac:dyDescent="0.25">
      <c r="A284" s="157"/>
      <c r="B284" s="157"/>
      <c r="C284" s="157"/>
      <c r="D284" s="157"/>
      <c r="E284" s="157"/>
      <c r="F284" s="157"/>
    </row>
    <row r="285" spans="1:6" ht="15.75" x14ac:dyDescent="0.25">
      <c r="A285" s="157"/>
      <c r="B285" s="157"/>
      <c r="C285" s="157"/>
      <c r="D285" s="157"/>
      <c r="E285" s="157"/>
      <c r="F285" s="157"/>
    </row>
    <row r="286" spans="1:6" ht="15.75" x14ac:dyDescent="0.25">
      <c r="A286" s="157"/>
      <c r="B286" s="157"/>
      <c r="C286" s="157"/>
      <c r="D286" s="157"/>
      <c r="E286" s="157"/>
      <c r="F286" s="157"/>
    </row>
    <row r="287" spans="1:6" ht="15.75" x14ac:dyDescent="0.25">
      <c r="A287" s="157"/>
      <c r="B287" s="157"/>
      <c r="C287" s="157"/>
      <c r="D287" s="157"/>
      <c r="E287" s="157"/>
      <c r="F287" s="157"/>
    </row>
    <row r="288" spans="1:6" ht="15.75" x14ac:dyDescent="0.25">
      <c r="A288" s="157"/>
      <c r="B288" s="157"/>
      <c r="C288" s="157"/>
      <c r="D288" s="157"/>
      <c r="E288" s="157"/>
      <c r="F288" s="157"/>
    </row>
    <row r="289" spans="1:6" ht="15.75" x14ac:dyDescent="0.25">
      <c r="A289" s="157"/>
      <c r="B289" s="157"/>
      <c r="C289" s="157"/>
      <c r="D289" s="157"/>
      <c r="E289" s="157"/>
      <c r="F289" s="157"/>
    </row>
    <row r="290" spans="1:6" ht="15.75" x14ac:dyDescent="0.25">
      <c r="A290" s="157"/>
      <c r="B290" s="157"/>
      <c r="C290" s="157"/>
      <c r="D290" s="157"/>
      <c r="E290" s="157"/>
      <c r="F290" s="157"/>
    </row>
    <row r="291" spans="1:6" ht="15.75" x14ac:dyDescent="0.25">
      <c r="A291" s="157"/>
      <c r="B291" s="157"/>
      <c r="C291" s="157"/>
      <c r="D291" s="157"/>
      <c r="E291" s="157"/>
      <c r="F291" s="157"/>
    </row>
    <row r="292" spans="1:6" ht="15.75" x14ac:dyDescent="0.25">
      <c r="A292" s="157"/>
      <c r="B292" s="157"/>
      <c r="C292" s="157"/>
      <c r="D292" s="157"/>
      <c r="E292" s="157"/>
      <c r="F292" s="157"/>
    </row>
    <row r="293" spans="1:6" ht="15.75" x14ac:dyDescent="0.25">
      <c r="A293" s="157"/>
      <c r="B293" s="157"/>
      <c r="C293" s="157"/>
      <c r="D293" s="157"/>
      <c r="E293" s="157"/>
      <c r="F293" s="157"/>
    </row>
    <row r="294" spans="1:6" ht="15.75" x14ac:dyDescent="0.25">
      <c r="A294" s="157"/>
      <c r="B294" s="157"/>
      <c r="C294" s="157"/>
      <c r="D294" s="157"/>
      <c r="E294" s="157"/>
      <c r="F294" s="157"/>
    </row>
    <row r="295" spans="1:6" ht="15.75" x14ac:dyDescent="0.25">
      <c r="A295" s="157"/>
      <c r="B295" s="157"/>
      <c r="C295" s="157"/>
      <c r="D295" s="157"/>
      <c r="E295" s="157"/>
      <c r="F295" s="157"/>
    </row>
    <row r="296" spans="1:6" ht="15.75" x14ac:dyDescent="0.25">
      <c r="A296" s="157"/>
      <c r="B296" s="157"/>
      <c r="C296" s="157"/>
      <c r="D296" s="157"/>
      <c r="E296" s="157"/>
      <c r="F296" s="157"/>
    </row>
    <row r="297" spans="1:6" ht="15.75" x14ac:dyDescent="0.25">
      <c r="A297" s="157"/>
      <c r="B297" s="157"/>
      <c r="C297" s="157"/>
      <c r="D297" s="157"/>
      <c r="E297" s="157"/>
      <c r="F297" s="157"/>
    </row>
    <row r="298" spans="1:6" ht="15.75" x14ac:dyDescent="0.25">
      <c r="A298" s="157"/>
      <c r="B298" s="157"/>
      <c r="C298" s="157"/>
      <c r="D298" s="157"/>
      <c r="E298" s="157"/>
      <c r="F298" s="157"/>
    </row>
    <row r="299" spans="1:6" ht="15.75" x14ac:dyDescent="0.25">
      <c r="A299" s="157"/>
      <c r="B299" s="157"/>
      <c r="C299" s="157"/>
      <c r="D299" s="157"/>
      <c r="E299" s="157"/>
      <c r="F299" s="157"/>
    </row>
    <row r="300" spans="1:6" ht="15.75" x14ac:dyDescent="0.25">
      <c r="A300" s="157"/>
      <c r="B300" s="157"/>
      <c r="C300" s="157"/>
      <c r="D300" s="157"/>
      <c r="E300" s="157"/>
      <c r="F300" s="157"/>
    </row>
    <row r="301" spans="1:6" ht="15.75" x14ac:dyDescent="0.25">
      <c r="A301" s="157"/>
      <c r="B301" s="157"/>
      <c r="C301" s="157"/>
      <c r="D301" s="157"/>
      <c r="E301" s="157"/>
      <c r="F301" s="157"/>
    </row>
    <row r="302" spans="1:6" ht="15.75" x14ac:dyDescent="0.25">
      <c r="A302" s="157"/>
      <c r="B302" s="157"/>
      <c r="C302" s="157"/>
      <c r="D302" s="157"/>
      <c r="E302" s="157"/>
      <c r="F302" s="157"/>
    </row>
    <row r="303" spans="1:6" ht="15.75" x14ac:dyDescent="0.25">
      <c r="A303" s="157"/>
      <c r="B303" s="157"/>
      <c r="C303" s="157"/>
      <c r="D303" s="157"/>
      <c r="E303" s="157"/>
      <c r="F303" s="157"/>
    </row>
    <row r="304" spans="1:6" ht="15.75" x14ac:dyDescent="0.25">
      <c r="A304" s="157"/>
      <c r="B304" s="157"/>
      <c r="C304" s="157"/>
      <c r="D304" s="157"/>
      <c r="E304" s="157"/>
      <c r="F304" s="157"/>
    </row>
    <row r="305" spans="1:6" ht="15.75" x14ac:dyDescent="0.25">
      <c r="A305" s="157"/>
      <c r="B305" s="157"/>
      <c r="C305" s="157"/>
      <c r="D305" s="157"/>
      <c r="E305" s="157"/>
      <c r="F305" s="157"/>
    </row>
    <row r="306" spans="1:6" ht="15.75" x14ac:dyDescent="0.25">
      <c r="A306" s="157"/>
      <c r="B306" s="157"/>
      <c r="C306" s="157"/>
      <c r="D306" s="157"/>
      <c r="E306" s="157"/>
      <c r="F306" s="157"/>
    </row>
    <row r="307" spans="1:6" ht="15.75" x14ac:dyDescent="0.25">
      <c r="A307" s="157"/>
      <c r="B307" s="157"/>
      <c r="C307" s="157"/>
      <c r="D307" s="157"/>
      <c r="E307" s="157"/>
      <c r="F307" s="157"/>
    </row>
    <row r="308" spans="1:6" ht="15.75" x14ac:dyDescent="0.25">
      <c r="A308" s="157"/>
      <c r="B308" s="157"/>
      <c r="C308" s="157"/>
      <c r="D308" s="157"/>
      <c r="E308" s="157"/>
      <c r="F308" s="157"/>
    </row>
    <row r="309" spans="1:6" ht="15.75" x14ac:dyDescent="0.25">
      <c r="A309" s="157"/>
      <c r="B309" s="157"/>
      <c r="C309" s="157"/>
      <c r="D309" s="157"/>
      <c r="E309" s="157"/>
      <c r="F309" s="157"/>
    </row>
    <row r="310" spans="1:6" ht="15.75" x14ac:dyDescent="0.25">
      <c r="A310" s="157"/>
      <c r="B310" s="157"/>
      <c r="C310" s="157"/>
      <c r="D310" s="157"/>
      <c r="E310" s="157"/>
      <c r="F310" s="157"/>
    </row>
    <row r="311" spans="1:6" ht="15.75" x14ac:dyDescent="0.25">
      <c r="A311" s="157"/>
      <c r="B311" s="157"/>
      <c r="C311" s="157"/>
      <c r="D311" s="157"/>
      <c r="E311" s="157"/>
      <c r="F311" s="157"/>
    </row>
    <row r="312" spans="1:6" ht="15.75" x14ac:dyDescent="0.25">
      <c r="A312" s="157"/>
      <c r="B312" s="157"/>
      <c r="C312" s="157"/>
      <c r="D312" s="157"/>
      <c r="E312" s="157"/>
      <c r="F312" s="157"/>
    </row>
    <row r="313" spans="1:6" ht="15.75" x14ac:dyDescent="0.25">
      <c r="A313" s="157"/>
      <c r="B313" s="157"/>
      <c r="C313" s="157"/>
      <c r="D313" s="157"/>
      <c r="E313" s="157"/>
      <c r="F313" s="157"/>
    </row>
    <row r="314" spans="1:6" ht="15.75" x14ac:dyDescent="0.25">
      <c r="A314" s="157"/>
      <c r="B314" s="157"/>
      <c r="C314" s="157"/>
      <c r="D314" s="157"/>
      <c r="E314" s="157"/>
      <c r="F314" s="157"/>
    </row>
    <row r="315" spans="1:6" ht="15.75" x14ac:dyDescent="0.25">
      <c r="A315" s="157"/>
      <c r="B315" s="157"/>
      <c r="C315" s="157"/>
      <c r="D315" s="157"/>
      <c r="E315" s="157"/>
      <c r="F315" s="157"/>
    </row>
    <row r="316" spans="1:6" ht="15.75" x14ac:dyDescent="0.25">
      <c r="A316" s="157"/>
      <c r="B316" s="157"/>
      <c r="C316" s="157"/>
      <c r="D316" s="157"/>
      <c r="E316" s="157"/>
      <c r="F316" s="157"/>
    </row>
    <row r="317" spans="1:6" ht="15.75" x14ac:dyDescent="0.25">
      <c r="A317" s="157"/>
      <c r="B317" s="157"/>
      <c r="C317" s="157"/>
      <c r="D317" s="157"/>
      <c r="E317" s="157"/>
      <c r="F317" s="157"/>
    </row>
    <row r="318" spans="1:6" ht="15.75" x14ac:dyDescent="0.25">
      <c r="A318" s="157"/>
      <c r="B318" s="157"/>
      <c r="C318" s="157"/>
      <c r="D318" s="157"/>
      <c r="E318" s="157"/>
      <c r="F318" s="157"/>
    </row>
    <row r="319" spans="1:6" ht="15.75" x14ac:dyDescent="0.25">
      <c r="A319" s="157"/>
      <c r="B319" s="157"/>
      <c r="C319" s="157"/>
      <c r="D319" s="157"/>
      <c r="E319" s="157"/>
      <c r="F319" s="157"/>
    </row>
    <row r="320" spans="1:6" ht="15.75" x14ac:dyDescent="0.25">
      <c r="A320" s="157"/>
      <c r="B320" s="157"/>
      <c r="C320" s="157"/>
      <c r="D320" s="157"/>
      <c r="E320" s="157"/>
      <c r="F320" s="157"/>
    </row>
    <row r="321" spans="1:6" ht="15.75" x14ac:dyDescent="0.25">
      <c r="A321" s="157"/>
      <c r="B321" s="157"/>
      <c r="C321" s="157"/>
      <c r="D321" s="157"/>
      <c r="E321" s="157"/>
      <c r="F321" s="157"/>
    </row>
    <row r="322" spans="1:6" ht="15.75" x14ac:dyDescent="0.25">
      <c r="A322" s="157"/>
      <c r="B322" s="157"/>
      <c r="C322" s="157"/>
      <c r="D322" s="157"/>
      <c r="E322" s="157"/>
      <c r="F322" s="157"/>
    </row>
    <row r="323" spans="1:6" ht="15.75" x14ac:dyDescent="0.25">
      <c r="A323" s="157"/>
      <c r="B323" s="157"/>
      <c r="C323" s="157"/>
      <c r="D323" s="157"/>
      <c r="E323" s="157"/>
      <c r="F323" s="157"/>
    </row>
    <row r="324" spans="1:6" ht="15.75" x14ac:dyDescent="0.25">
      <c r="A324" s="157"/>
      <c r="B324" s="157"/>
      <c r="C324" s="157"/>
      <c r="D324" s="157"/>
      <c r="E324" s="157"/>
      <c r="F324" s="157"/>
    </row>
    <row r="325" spans="1:6" ht="15.75" x14ac:dyDescent="0.25">
      <c r="A325" s="157"/>
      <c r="B325" s="157"/>
      <c r="C325" s="157"/>
      <c r="D325" s="157"/>
      <c r="E325" s="157"/>
      <c r="F325" s="157"/>
    </row>
    <row r="326" spans="1:6" ht="15.75" x14ac:dyDescent="0.25">
      <c r="A326" s="157"/>
      <c r="B326" s="157"/>
      <c r="C326" s="157"/>
      <c r="D326" s="157"/>
      <c r="E326" s="157"/>
      <c r="F326" s="157"/>
    </row>
    <row r="327" spans="1:6" ht="15.75" x14ac:dyDescent="0.25">
      <c r="A327" s="157"/>
      <c r="B327" s="157"/>
      <c r="C327" s="157"/>
      <c r="D327" s="157"/>
      <c r="E327" s="157"/>
      <c r="F327" s="157"/>
    </row>
    <row r="328" spans="1:6" ht="15.75" x14ac:dyDescent="0.25">
      <c r="A328" s="157"/>
      <c r="B328" s="157"/>
      <c r="C328" s="157"/>
      <c r="D328" s="157"/>
      <c r="E328" s="157"/>
      <c r="F328" s="157"/>
    </row>
    <row r="329" spans="1:6" ht="15.75" x14ac:dyDescent="0.25">
      <c r="A329" s="157"/>
      <c r="B329" s="157"/>
      <c r="C329" s="157"/>
      <c r="D329" s="157"/>
      <c r="E329" s="157"/>
      <c r="F329" s="157"/>
    </row>
    <row r="330" spans="1:6" ht="15.75" x14ac:dyDescent="0.25">
      <c r="A330" s="157"/>
      <c r="B330" s="157"/>
      <c r="C330" s="157"/>
      <c r="D330" s="157"/>
      <c r="E330" s="157"/>
      <c r="F330" s="157"/>
    </row>
    <row r="331" spans="1:6" ht="15.75" x14ac:dyDescent="0.25">
      <c r="A331" s="157"/>
      <c r="B331" s="157"/>
      <c r="C331" s="157"/>
      <c r="D331" s="157"/>
      <c r="E331" s="157"/>
      <c r="F331" s="157"/>
    </row>
    <row r="332" spans="1:6" ht="15.75" x14ac:dyDescent="0.25">
      <c r="A332" s="157"/>
      <c r="B332" s="157"/>
      <c r="C332" s="157"/>
      <c r="D332" s="157"/>
      <c r="E332" s="157"/>
      <c r="F332" s="157"/>
    </row>
    <row r="333" spans="1:6" ht="15.75" x14ac:dyDescent="0.25">
      <c r="A333" s="157"/>
      <c r="B333" s="157"/>
      <c r="C333" s="157"/>
      <c r="D333" s="157"/>
      <c r="E333" s="157"/>
      <c r="F333" s="157"/>
    </row>
    <row r="334" spans="1:6" ht="15.75" x14ac:dyDescent="0.25">
      <c r="A334" s="157"/>
      <c r="B334" s="157"/>
      <c r="C334" s="157"/>
      <c r="D334" s="157"/>
      <c r="E334" s="157"/>
      <c r="F334" s="157"/>
    </row>
    <row r="335" spans="1:6" ht="15.75" x14ac:dyDescent="0.25">
      <c r="A335" s="157"/>
      <c r="B335" s="157"/>
      <c r="C335" s="157"/>
      <c r="D335" s="157"/>
      <c r="E335" s="157"/>
      <c r="F335" s="157"/>
    </row>
    <row r="336" spans="1:6" ht="15.75" x14ac:dyDescent="0.25">
      <c r="A336" s="157"/>
      <c r="B336" s="157"/>
      <c r="C336" s="157"/>
      <c r="D336" s="157"/>
      <c r="E336" s="157"/>
      <c r="F336" s="157"/>
    </row>
    <row r="337" spans="1:6" ht="15.75" x14ac:dyDescent="0.25">
      <c r="A337" s="157"/>
      <c r="B337" s="157"/>
      <c r="C337" s="157"/>
      <c r="D337" s="157"/>
      <c r="E337" s="157"/>
      <c r="F337" s="157"/>
    </row>
    <row r="338" spans="1:6" ht="15.75" x14ac:dyDescent="0.25">
      <c r="A338" s="157"/>
      <c r="B338" s="157"/>
      <c r="C338" s="157"/>
      <c r="D338" s="157"/>
      <c r="E338" s="157"/>
      <c r="F338" s="157"/>
    </row>
    <row r="339" spans="1:6" ht="15.75" x14ac:dyDescent="0.25">
      <c r="A339" s="157"/>
      <c r="B339" s="157"/>
      <c r="C339" s="157"/>
      <c r="D339" s="157"/>
      <c r="E339" s="157"/>
      <c r="F339" s="157"/>
    </row>
    <row r="340" spans="1:6" ht="15.75" x14ac:dyDescent="0.25">
      <c r="A340" s="157"/>
      <c r="B340" s="157"/>
      <c r="C340" s="157"/>
      <c r="D340" s="157"/>
      <c r="E340" s="157"/>
      <c r="F340" s="157"/>
    </row>
    <row r="341" spans="1:6" ht="15.75" x14ac:dyDescent="0.25">
      <c r="A341" s="157"/>
      <c r="B341" s="157"/>
      <c r="C341" s="157"/>
      <c r="D341" s="157"/>
      <c r="E341" s="157"/>
      <c r="F341" s="157"/>
    </row>
    <row r="342" spans="1:6" ht="15.75" x14ac:dyDescent="0.25">
      <c r="A342" s="157"/>
      <c r="B342" s="157"/>
      <c r="C342" s="157"/>
      <c r="D342" s="157"/>
      <c r="E342" s="157"/>
      <c r="F342" s="157"/>
    </row>
    <row r="343" spans="1:6" ht="15.75" x14ac:dyDescent="0.25">
      <c r="A343" s="157"/>
      <c r="B343" s="157"/>
      <c r="C343" s="157"/>
      <c r="D343" s="157"/>
      <c r="E343" s="157"/>
      <c r="F343" s="157"/>
    </row>
    <row r="344" spans="1:6" ht="15.75" x14ac:dyDescent="0.25">
      <c r="A344" s="157"/>
      <c r="B344" s="157"/>
      <c r="C344" s="157"/>
      <c r="D344" s="157"/>
      <c r="E344" s="157"/>
      <c r="F344" s="157"/>
    </row>
    <row r="345" spans="1:6" ht="15.75" x14ac:dyDescent="0.25">
      <c r="A345" s="157"/>
      <c r="B345" s="157"/>
      <c r="C345" s="157"/>
      <c r="D345" s="157"/>
      <c r="E345" s="157"/>
      <c r="F345" s="157"/>
    </row>
    <row r="346" spans="1:6" ht="15.75" x14ac:dyDescent="0.25">
      <c r="A346" s="157"/>
      <c r="B346" s="157"/>
      <c r="C346" s="157"/>
      <c r="D346" s="157"/>
      <c r="E346" s="157"/>
      <c r="F346" s="157"/>
    </row>
    <row r="347" spans="1:6" ht="15.75" x14ac:dyDescent="0.25">
      <c r="A347" s="157"/>
      <c r="B347" s="157"/>
      <c r="C347" s="157"/>
      <c r="D347" s="157"/>
      <c r="E347" s="157"/>
      <c r="F347" s="157"/>
    </row>
    <row r="348" spans="1:6" ht="15.75" x14ac:dyDescent="0.25">
      <c r="A348" s="157"/>
      <c r="B348" s="157"/>
      <c r="C348" s="157"/>
      <c r="D348" s="157"/>
      <c r="E348" s="157"/>
      <c r="F348" s="157"/>
    </row>
    <row r="349" spans="1:6" ht="15.75" x14ac:dyDescent="0.25">
      <c r="A349" s="157"/>
      <c r="B349" s="157"/>
      <c r="C349" s="157"/>
      <c r="D349" s="157"/>
      <c r="E349" s="157"/>
      <c r="F349" s="157"/>
    </row>
    <row r="350" spans="1:6" ht="15.75" x14ac:dyDescent="0.25">
      <c r="A350" s="157"/>
      <c r="B350" s="157"/>
      <c r="C350" s="157"/>
      <c r="D350" s="157"/>
      <c r="E350" s="157"/>
      <c r="F350" s="157"/>
    </row>
    <row r="351" spans="1:6" ht="15.75" x14ac:dyDescent="0.25">
      <c r="A351" s="157"/>
      <c r="B351" s="157"/>
      <c r="C351" s="157"/>
      <c r="D351" s="157"/>
      <c r="E351" s="157"/>
      <c r="F351" s="157"/>
    </row>
    <row r="352" spans="1:6" ht="15.75" x14ac:dyDescent="0.25">
      <c r="A352" s="157"/>
      <c r="B352" s="157"/>
      <c r="C352" s="157"/>
      <c r="D352" s="157"/>
      <c r="E352" s="157"/>
      <c r="F352" s="157"/>
    </row>
    <row r="353" spans="1:6" ht="15.75" x14ac:dyDescent="0.25">
      <c r="A353" s="157"/>
      <c r="B353" s="157"/>
      <c r="C353" s="157"/>
      <c r="D353" s="157"/>
      <c r="E353" s="157"/>
      <c r="F353" s="157"/>
    </row>
    <row r="354" spans="1:6" ht="15.75" x14ac:dyDescent="0.25">
      <c r="A354" s="157"/>
      <c r="B354" s="157"/>
      <c r="C354" s="157"/>
      <c r="D354" s="157"/>
      <c r="E354" s="157"/>
      <c r="F354" s="157"/>
    </row>
    <row r="355" spans="1:6" ht="15.75" x14ac:dyDescent="0.25">
      <c r="A355" s="157"/>
      <c r="B355" s="157"/>
      <c r="C355" s="157"/>
      <c r="D355" s="157"/>
      <c r="E355" s="157"/>
      <c r="F355" s="157"/>
    </row>
    <row r="356" spans="1:6" ht="15.75" x14ac:dyDescent="0.25">
      <c r="A356" s="157"/>
      <c r="B356" s="157"/>
      <c r="C356" s="157"/>
      <c r="D356" s="157"/>
      <c r="E356" s="157"/>
      <c r="F356" s="157"/>
    </row>
    <row r="357" spans="1:6" ht="15.75" x14ac:dyDescent="0.25">
      <c r="A357" s="157"/>
      <c r="B357" s="157"/>
      <c r="C357" s="157"/>
      <c r="D357" s="157"/>
      <c r="E357" s="157"/>
      <c r="F357" s="157"/>
    </row>
    <row r="358" spans="1:6" ht="15.75" x14ac:dyDescent="0.25">
      <c r="A358" s="157"/>
      <c r="B358" s="157"/>
      <c r="C358" s="157"/>
      <c r="D358" s="157"/>
      <c r="E358" s="157"/>
      <c r="F358" s="157"/>
    </row>
    <row r="359" spans="1:6" ht="15.75" x14ac:dyDescent="0.25">
      <c r="A359" s="157"/>
      <c r="B359" s="157"/>
      <c r="C359" s="157"/>
      <c r="D359" s="157"/>
      <c r="E359" s="157"/>
      <c r="F359" s="157"/>
    </row>
    <row r="360" spans="1:6" ht="15.75" x14ac:dyDescent="0.25">
      <c r="A360" s="157"/>
      <c r="B360" s="157"/>
      <c r="C360" s="157"/>
      <c r="D360" s="157"/>
      <c r="E360" s="157"/>
      <c r="F360" s="157"/>
    </row>
    <row r="361" spans="1:6" ht="15.75" x14ac:dyDescent="0.25">
      <c r="A361" s="157"/>
      <c r="B361" s="157"/>
      <c r="C361" s="157"/>
      <c r="D361" s="157"/>
      <c r="E361" s="157"/>
      <c r="F361" s="157"/>
    </row>
    <row r="362" spans="1:6" ht="15.75" x14ac:dyDescent="0.25">
      <c r="A362" s="157"/>
      <c r="B362" s="157"/>
      <c r="C362" s="157"/>
      <c r="D362" s="157"/>
      <c r="E362" s="157"/>
      <c r="F362" s="157"/>
    </row>
    <row r="363" spans="1:6" ht="15.75" x14ac:dyDescent="0.25">
      <c r="A363" s="157"/>
      <c r="B363" s="157"/>
      <c r="C363" s="157"/>
      <c r="D363" s="157"/>
      <c r="E363" s="157"/>
      <c r="F363" s="157"/>
    </row>
    <row r="364" spans="1:6" ht="15.75" x14ac:dyDescent="0.25">
      <c r="A364" s="157"/>
      <c r="B364" s="157"/>
      <c r="C364" s="157"/>
      <c r="D364" s="157"/>
      <c r="E364" s="157"/>
      <c r="F364" s="157"/>
    </row>
    <row r="365" spans="1:6" ht="15.75" x14ac:dyDescent="0.25">
      <c r="A365" s="157"/>
      <c r="B365" s="157"/>
      <c r="C365" s="157"/>
      <c r="D365" s="157"/>
      <c r="E365" s="157"/>
      <c r="F365" s="157"/>
    </row>
    <row r="366" spans="1:6" ht="15.75" x14ac:dyDescent="0.25">
      <c r="A366" s="157"/>
      <c r="B366" s="157"/>
      <c r="C366" s="157"/>
      <c r="D366" s="157"/>
      <c r="E366" s="157"/>
      <c r="F366" s="157"/>
    </row>
    <row r="367" spans="1:6" ht="15.75" x14ac:dyDescent="0.25">
      <c r="A367" s="157"/>
      <c r="B367" s="157"/>
      <c r="C367" s="157"/>
      <c r="D367" s="157"/>
      <c r="E367" s="157"/>
      <c r="F367" s="157"/>
    </row>
    <row r="368" spans="1:6" ht="15.75" x14ac:dyDescent="0.25">
      <c r="A368" s="157"/>
      <c r="B368" s="157"/>
      <c r="C368" s="157"/>
      <c r="D368" s="157"/>
      <c r="E368" s="157"/>
      <c r="F368" s="157"/>
    </row>
    <row r="369" spans="1:6" ht="15.75" x14ac:dyDescent="0.25">
      <c r="A369" s="157"/>
      <c r="B369" s="157"/>
      <c r="C369" s="157"/>
      <c r="D369" s="157"/>
      <c r="E369" s="157"/>
      <c r="F369" s="157"/>
    </row>
    <row r="370" spans="1:6" ht="15.75" x14ac:dyDescent="0.25">
      <c r="A370" s="157"/>
      <c r="B370" s="157"/>
      <c r="C370" s="157"/>
      <c r="D370" s="157"/>
      <c r="E370" s="157"/>
      <c r="F370" s="157"/>
    </row>
    <row r="371" spans="1:6" ht="15.75" x14ac:dyDescent="0.25">
      <c r="A371" s="157"/>
      <c r="B371" s="157"/>
      <c r="C371" s="157"/>
      <c r="D371" s="157"/>
      <c r="E371" s="157"/>
      <c r="F371" s="157"/>
    </row>
    <row r="372" spans="1:6" ht="15.75" x14ac:dyDescent="0.25">
      <c r="A372" s="157"/>
      <c r="B372" s="157"/>
      <c r="C372" s="157"/>
      <c r="D372" s="157"/>
      <c r="E372" s="157"/>
      <c r="F372" s="157"/>
    </row>
    <row r="373" spans="1:6" ht="15.75" x14ac:dyDescent="0.25">
      <c r="A373" s="157"/>
      <c r="B373" s="157"/>
      <c r="C373" s="157"/>
      <c r="D373" s="157"/>
      <c r="E373" s="157"/>
      <c r="F373" s="157"/>
    </row>
    <row r="374" spans="1:6" ht="15.75" x14ac:dyDescent="0.25">
      <c r="A374" s="157"/>
      <c r="B374" s="157"/>
      <c r="C374" s="157"/>
      <c r="D374" s="157"/>
      <c r="E374" s="157"/>
      <c r="F374" s="157"/>
    </row>
    <row r="375" spans="1:6" ht="15.75" x14ac:dyDescent="0.25">
      <c r="A375" s="157"/>
      <c r="B375" s="157"/>
      <c r="C375" s="157"/>
      <c r="D375" s="157"/>
      <c r="E375" s="157"/>
      <c r="F375" s="157"/>
    </row>
    <row r="376" spans="1:6" ht="15.75" x14ac:dyDescent="0.25">
      <c r="A376" s="157"/>
      <c r="B376" s="157"/>
      <c r="C376" s="157"/>
      <c r="D376" s="157"/>
      <c r="E376" s="157"/>
      <c r="F376" s="157"/>
    </row>
    <row r="377" spans="1:6" ht="15.75" x14ac:dyDescent="0.25">
      <c r="A377" s="157"/>
      <c r="B377" s="157"/>
      <c r="C377" s="157"/>
      <c r="D377" s="157"/>
      <c r="E377" s="157"/>
      <c r="F377" s="157"/>
    </row>
    <row r="378" spans="1:6" ht="15.75" x14ac:dyDescent="0.25">
      <c r="A378" s="157"/>
      <c r="B378" s="157"/>
      <c r="C378" s="157"/>
      <c r="D378" s="157"/>
      <c r="E378" s="157"/>
      <c r="F378" s="157"/>
    </row>
    <row r="379" spans="1:6" ht="15.75" x14ac:dyDescent="0.25">
      <c r="A379" s="157"/>
      <c r="B379" s="157"/>
      <c r="C379" s="157"/>
      <c r="D379" s="157"/>
      <c r="E379" s="157"/>
      <c r="F379" s="157"/>
    </row>
    <row r="380" spans="1:6" ht="15.75" x14ac:dyDescent="0.25">
      <c r="A380" s="157"/>
      <c r="B380" s="157"/>
      <c r="C380" s="157"/>
      <c r="D380" s="157"/>
      <c r="E380" s="157"/>
      <c r="F380" s="157"/>
    </row>
    <row r="381" spans="1:6" ht="15.75" x14ac:dyDescent="0.25">
      <c r="A381" s="157"/>
      <c r="B381" s="157"/>
      <c r="C381" s="157"/>
      <c r="D381" s="157"/>
      <c r="E381" s="157"/>
      <c r="F381" s="157"/>
    </row>
    <row r="382" spans="1:6" ht="15.75" x14ac:dyDescent="0.25">
      <c r="A382" s="157"/>
      <c r="B382" s="157"/>
      <c r="C382" s="157"/>
      <c r="D382" s="157"/>
      <c r="E382" s="157"/>
      <c r="F382" s="157"/>
    </row>
    <row r="383" spans="1:6" ht="15.75" x14ac:dyDescent="0.25">
      <c r="A383" s="157"/>
      <c r="B383" s="157"/>
      <c r="C383" s="157"/>
      <c r="D383" s="157"/>
      <c r="E383" s="157"/>
      <c r="F383" s="157"/>
    </row>
    <row r="384" spans="1:6" ht="15.75" x14ac:dyDescent="0.25">
      <c r="A384" s="157"/>
      <c r="B384" s="157"/>
      <c r="C384" s="157"/>
      <c r="D384" s="157"/>
      <c r="E384" s="157"/>
      <c r="F384" s="157"/>
    </row>
    <row r="385" spans="1:6" ht="15.75" x14ac:dyDescent="0.25">
      <c r="A385" s="157"/>
      <c r="B385" s="157"/>
      <c r="C385" s="157"/>
      <c r="D385" s="157"/>
      <c r="E385" s="157"/>
      <c r="F385" s="157"/>
    </row>
    <row r="386" spans="1:6" ht="15.75" x14ac:dyDescent="0.25">
      <c r="A386" s="157"/>
      <c r="B386" s="157"/>
      <c r="C386" s="157"/>
      <c r="D386" s="157"/>
      <c r="E386" s="157"/>
      <c r="F386" s="157"/>
    </row>
    <row r="387" spans="1:6" ht="15.75" x14ac:dyDescent="0.25">
      <c r="A387" s="157"/>
      <c r="B387" s="157"/>
      <c r="C387" s="157"/>
      <c r="D387" s="157"/>
      <c r="E387" s="157"/>
      <c r="F387" s="157"/>
    </row>
    <row r="388" spans="1:6" ht="15.75" x14ac:dyDescent="0.25">
      <c r="A388" s="157"/>
      <c r="B388" s="157"/>
      <c r="C388" s="157"/>
      <c r="D388" s="157"/>
      <c r="E388" s="157"/>
      <c r="F388" s="157"/>
    </row>
    <row r="389" spans="1:6" ht="15.75" x14ac:dyDescent="0.25">
      <c r="A389" s="157"/>
      <c r="B389" s="157"/>
      <c r="C389" s="157"/>
      <c r="D389" s="157"/>
      <c r="E389" s="157"/>
      <c r="F389" s="157"/>
    </row>
    <row r="390" spans="1:6" ht="15.75" x14ac:dyDescent="0.25">
      <c r="A390" s="157"/>
      <c r="B390" s="157"/>
      <c r="C390" s="157"/>
      <c r="D390" s="157"/>
      <c r="E390" s="157"/>
      <c r="F390" s="157"/>
    </row>
    <row r="391" spans="1:6" ht="15.75" x14ac:dyDescent="0.25">
      <c r="A391" s="157"/>
      <c r="B391" s="157"/>
      <c r="C391" s="157"/>
      <c r="D391" s="157"/>
      <c r="E391" s="157"/>
      <c r="F391" s="157"/>
    </row>
    <row r="392" spans="1:6" ht="15.75" x14ac:dyDescent="0.25">
      <c r="A392" s="157"/>
      <c r="B392" s="157"/>
      <c r="C392" s="157"/>
      <c r="D392" s="157"/>
      <c r="E392" s="157"/>
      <c r="F392" s="157"/>
    </row>
    <row r="393" spans="1:6" ht="15.75" x14ac:dyDescent="0.25">
      <c r="A393" s="157"/>
      <c r="B393" s="157"/>
      <c r="C393" s="157"/>
      <c r="D393" s="157"/>
      <c r="E393" s="157"/>
      <c r="F393" s="157"/>
    </row>
    <row r="394" spans="1:6" ht="15.75" x14ac:dyDescent="0.25">
      <c r="A394" s="157"/>
      <c r="B394" s="157"/>
      <c r="C394" s="157"/>
      <c r="D394" s="157"/>
      <c r="E394" s="157"/>
      <c r="F394" s="157"/>
    </row>
    <row r="395" spans="1:6" ht="15.75" x14ac:dyDescent="0.25">
      <c r="A395" s="157"/>
      <c r="B395" s="157"/>
      <c r="C395" s="157"/>
      <c r="D395" s="157"/>
      <c r="E395" s="157"/>
      <c r="F395" s="157"/>
    </row>
    <row r="396" spans="1:6" ht="15.75" x14ac:dyDescent="0.25">
      <c r="A396" s="157"/>
      <c r="B396" s="157"/>
      <c r="C396" s="157"/>
      <c r="D396" s="157"/>
      <c r="E396" s="157"/>
      <c r="F396" s="157"/>
    </row>
    <row r="397" spans="1:6" ht="15.75" x14ac:dyDescent="0.25">
      <c r="A397" s="157"/>
      <c r="B397" s="157"/>
      <c r="C397" s="157"/>
      <c r="D397" s="157"/>
      <c r="E397" s="157"/>
      <c r="F397" s="157"/>
    </row>
    <row r="398" spans="1:6" ht="15.75" x14ac:dyDescent="0.25">
      <c r="A398" s="157"/>
      <c r="B398" s="157"/>
      <c r="C398" s="157"/>
      <c r="D398" s="157"/>
      <c r="E398" s="157"/>
      <c r="F398" s="157"/>
    </row>
    <row r="399" spans="1:6" ht="15.75" x14ac:dyDescent="0.25">
      <c r="A399" s="157"/>
      <c r="B399" s="157"/>
      <c r="C399" s="157"/>
      <c r="D399" s="157"/>
      <c r="E399" s="157"/>
      <c r="F399" s="157"/>
    </row>
    <row r="400" spans="1:6" ht="15.75" x14ac:dyDescent="0.25">
      <c r="A400" s="157"/>
      <c r="B400" s="157"/>
      <c r="C400" s="157"/>
      <c r="D400" s="157"/>
      <c r="E400" s="157"/>
      <c r="F400" s="157"/>
    </row>
    <row r="401" spans="1:6" ht="15.75" x14ac:dyDescent="0.25">
      <c r="A401" s="157"/>
      <c r="B401" s="157"/>
      <c r="C401" s="157"/>
      <c r="D401" s="157"/>
      <c r="E401" s="157"/>
      <c r="F401" s="157"/>
    </row>
    <row r="402" spans="1:6" ht="15.75" x14ac:dyDescent="0.25">
      <c r="A402" s="157"/>
      <c r="B402" s="157"/>
      <c r="C402" s="157"/>
      <c r="D402" s="157"/>
      <c r="E402" s="157"/>
      <c r="F402" s="157"/>
    </row>
    <row r="403" spans="1:6" ht="15.75" x14ac:dyDescent="0.25">
      <c r="A403" s="157"/>
      <c r="B403" s="157"/>
      <c r="C403" s="157"/>
      <c r="D403" s="157"/>
      <c r="E403" s="157"/>
      <c r="F403" s="157"/>
    </row>
    <row r="404" spans="1:6" ht="15.75" x14ac:dyDescent="0.25">
      <c r="A404" s="157"/>
      <c r="B404" s="157"/>
      <c r="C404" s="157"/>
      <c r="D404" s="157"/>
      <c r="E404" s="157"/>
      <c r="F404" s="157"/>
    </row>
    <row r="405" spans="1:6" ht="15.75" x14ac:dyDescent="0.25">
      <c r="A405" s="157"/>
      <c r="B405" s="157"/>
      <c r="C405" s="157"/>
      <c r="D405" s="157"/>
      <c r="E405" s="157"/>
      <c r="F405" s="157"/>
    </row>
    <row r="406" spans="1:6" ht="15.75" x14ac:dyDescent="0.25">
      <c r="A406" s="157"/>
      <c r="B406" s="157"/>
      <c r="C406" s="157"/>
      <c r="D406" s="157"/>
      <c r="E406" s="157"/>
      <c r="F406" s="157"/>
    </row>
    <row r="407" spans="1:6" ht="15.75" x14ac:dyDescent="0.25">
      <c r="A407" s="157"/>
      <c r="B407" s="157"/>
      <c r="C407" s="157"/>
      <c r="D407" s="157"/>
      <c r="E407" s="157"/>
      <c r="F407" s="157"/>
    </row>
    <row r="408" spans="1:6" ht="15.75" x14ac:dyDescent="0.25">
      <c r="A408" s="157"/>
      <c r="B408" s="157"/>
      <c r="C408" s="157"/>
      <c r="D408" s="157"/>
      <c r="E408" s="157"/>
      <c r="F408" s="157"/>
    </row>
    <row r="409" spans="1:6" ht="15.75" x14ac:dyDescent="0.25">
      <c r="A409" s="157"/>
      <c r="B409" s="157"/>
      <c r="C409" s="157"/>
      <c r="D409" s="157"/>
      <c r="E409" s="157"/>
      <c r="F409" s="157"/>
    </row>
    <row r="410" spans="1:6" ht="15.75" x14ac:dyDescent="0.25">
      <c r="A410" s="157"/>
      <c r="B410" s="157"/>
      <c r="C410" s="157"/>
      <c r="D410" s="157"/>
      <c r="E410" s="157"/>
      <c r="F410" s="157"/>
    </row>
    <row r="411" spans="1:6" ht="15.75" x14ac:dyDescent="0.25">
      <c r="A411" s="157"/>
      <c r="B411" s="157"/>
      <c r="C411" s="157"/>
      <c r="D411" s="157"/>
      <c r="E411" s="157"/>
      <c r="F411" s="157"/>
    </row>
    <row r="412" spans="1:6" ht="15.75" x14ac:dyDescent="0.25">
      <c r="A412" s="157"/>
      <c r="B412" s="157"/>
      <c r="C412" s="157"/>
      <c r="D412" s="157"/>
      <c r="E412" s="157"/>
      <c r="F412" s="157"/>
    </row>
    <row r="413" spans="1:6" ht="15.75" x14ac:dyDescent="0.25">
      <c r="A413" s="157"/>
      <c r="B413" s="157"/>
      <c r="C413" s="157"/>
      <c r="D413" s="157"/>
      <c r="E413" s="157"/>
      <c r="F413" s="157"/>
    </row>
    <row r="414" spans="1:6" ht="15.75" x14ac:dyDescent="0.25">
      <c r="A414" s="157"/>
      <c r="B414" s="157"/>
      <c r="C414" s="157"/>
      <c r="D414" s="157"/>
      <c r="E414" s="157"/>
      <c r="F414" s="157"/>
    </row>
    <row r="415" spans="1:6" ht="15.75" x14ac:dyDescent="0.25">
      <c r="A415" s="157"/>
      <c r="B415" s="157"/>
      <c r="C415" s="157"/>
      <c r="D415" s="157"/>
      <c r="E415" s="157"/>
      <c r="F415" s="157"/>
    </row>
    <row r="416" spans="1:6" ht="15.75" x14ac:dyDescent="0.25">
      <c r="A416" s="157"/>
      <c r="B416" s="157"/>
      <c r="C416" s="157"/>
      <c r="D416" s="157"/>
      <c r="E416" s="157"/>
      <c r="F416" s="157"/>
    </row>
    <row r="417" spans="1:6" ht="15.75" x14ac:dyDescent="0.25">
      <c r="A417" s="157"/>
      <c r="B417" s="157"/>
      <c r="C417" s="157"/>
      <c r="D417" s="157"/>
      <c r="E417" s="157"/>
      <c r="F417" s="157"/>
    </row>
    <row r="418" spans="1:6" ht="15.75" x14ac:dyDescent="0.25">
      <c r="A418" s="157"/>
      <c r="B418" s="157"/>
      <c r="C418" s="157"/>
      <c r="D418" s="157"/>
      <c r="E418" s="157"/>
      <c r="F418" s="157"/>
    </row>
    <row r="419" spans="1:6" ht="15.75" x14ac:dyDescent="0.25">
      <c r="A419" s="157"/>
      <c r="B419" s="157"/>
      <c r="C419" s="157"/>
      <c r="D419" s="157"/>
      <c r="E419" s="157"/>
      <c r="F419" s="157"/>
    </row>
    <row r="420" spans="1:6" ht="15.75" x14ac:dyDescent="0.25">
      <c r="A420" s="157"/>
      <c r="B420" s="157"/>
      <c r="C420" s="157"/>
      <c r="D420" s="157"/>
      <c r="E420" s="157"/>
      <c r="F420" s="157"/>
    </row>
    <row r="421" spans="1:6" ht="15.75" x14ac:dyDescent="0.25">
      <c r="A421" s="157"/>
      <c r="B421" s="157"/>
      <c r="C421" s="157"/>
      <c r="D421" s="157"/>
      <c r="E421" s="157"/>
      <c r="F421" s="157"/>
    </row>
    <row r="422" spans="1:6" ht="15.75" x14ac:dyDescent="0.25">
      <c r="A422" s="157"/>
      <c r="B422" s="157"/>
      <c r="C422" s="157"/>
      <c r="D422" s="157"/>
      <c r="E422" s="157"/>
      <c r="F422" s="157"/>
    </row>
    <row r="423" spans="1:6" ht="15.75" x14ac:dyDescent="0.25">
      <c r="A423" s="157"/>
      <c r="B423" s="157"/>
      <c r="C423" s="157"/>
      <c r="D423" s="157"/>
      <c r="E423" s="157"/>
      <c r="F423" s="157"/>
    </row>
    <row r="424" spans="1:6" ht="15.75" x14ac:dyDescent="0.25">
      <c r="A424" s="157"/>
      <c r="B424" s="157"/>
      <c r="C424" s="157"/>
      <c r="D424" s="157"/>
      <c r="E424" s="157"/>
      <c r="F424" s="157"/>
    </row>
    <row r="425" spans="1:6" ht="15.75" x14ac:dyDescent="0.25">
      <c r="A425" s="157"/>
      <c r="B425" s="157"/>
      <c r="C425" s="157"/>
      <c r="D425" s="157"/>
      <c r="E425" s="157"/>
      <c r="F425" s="157"/>
    </row>
    <row r="426" spans="1:6" ht="15.75" x14ac:dyDescent="0.25">
      <c r="A426" s="157"/>
      <c r="B426" s="157"/>
      <c r="C426" s="157"/>
      <c r="D426" s="157"/>
      <c r="E426" s="157"/>
      <c r="F426" s="157"/>
    </row>
    <row r="427" spans="1:6" ht="15.75" x14ac:dyDescent="0.25">
      <c r="A427" s="157"/>
      <c r="B427" s="157"/>
      <c r="C427" s="157"/>
      <c r="D427" s="157"/>
      <c r="E427" s="157"/>
      <c r="F427" s="157"/>
    </row>
    <row r="428" spans="1:6" ht="15.75" x14ac:dyDescent="0.25">
      <c r="A428" s="157"/>
      <c r="B428" s="157"/>
      <c r="C428" s="157"/>
      <c r="D428" s="157"/>
      <c r="E428" s="157"/>
      <c r="F428" s="157"/>
    </row>
    <row r="429" spans="1:6" ht="15.75" x14ac:dyDescent="0.25">
      <c r="A429" s="157"/>
      <c r="B429" s="157"/>
      <c r="C429" s="157"/>
      <c r="D429" s="157"/>
      <c r="E429" s="157"/>
      <c r="F429" s="157"/>
    </row>
    <row r="430" spans="1:6" ht="15.75" x14ac:dyDescent="0.25">
      <c r="A430" s="157"/>
      <c r="B430" s="157"/>
      <c r="C430" s="157"/>
      <c r="D430" s="157"/>
      <c r="E430" s="157"/>
      <c r="F430" s="157"/>
    </row>
    <row r="431" spans="1:6" ht="15.75" x14ac:dyDescent="0.25">
      <c r="A431" s="157"/>
      <c r="B431" s="157"/>
      <c r="C431" s="157"/>
      <c r="D431" s="157"/>
      <c r="E431" s="157"/>
      <c r="F431" s="157"/>
    </row>
    <row r="432" spans="1:6" ht="15.75" x14ac:dyDescent="0.25">
      <c r="A432" s="157"/>
      <c r="B432" s="157"/>
      <c r="C432" s="157"/>
      <c r="D432" s="157"/>
      <c r="E432" s="157"/>
      <c r="F432" s="157"/>
    </row>
    <row r="433" spans="1:6" ht="15.75" x14ac:dyDescent="0.25">
      <c r="A433" s="157"/>
      <c r="B433" s="157"/>
      <c r="C433" s="157"/>
      <c r="D433" s="157"/>
      <c r="E433" s="157"/>
      <c r="F433" s="157"/>
    </row>
    <row r="434" spans="1:6" ht="15.75" x14ac:dyDescent="0.25">
      <c r="A434" s="157"/>
      <c r="B434" s="157"/>
      <c r="C434" s="157"/>
      <c r="D434" s="157"/>
      <c r="E434" s="157"/>
      <c r="F434" s="157"/>
    </row>
    <row r="435" spans="1:6" ht="15.75" x14ac:dyDescent="0.25">
      <c r="A435" s="157"/>
      <c r="B435" s="157"/>
      <c r="C435" s="157"/>
      <c r="D435" s="157"/>
      <c r="E435" s="157"/>
      <c r="F435" s="157"/>
    </row>
    <row r="436" spans="1:6" ht="15.75" x14ac:dyDescent="0.25">
      <c r="A436" s="157"/>
      <c r="B436" s="157"/>
      <c r="C436" s="157"/>
      <c r="D436" s="157"/>
      <c r="E436" s="157"/>
      <c r="F436" s="157"/>
    </row>
    <row r="437" spans="1:6" ht="15.75" x14ac:dyDescent="0.25">
      <c r="A437" s="157"/>
      <c r="B437" s="157"/>
      <c r="C437" s="157"/>
      <c r="D437" s="157"/>
      <c r="E437" s="157"/>
      <c r="F437" s="157"/>
    </row>
    <row r="438" spans="1:6" ht="15.75" x14ac:dyDescent="0.25">
      <c r="A438" s="157"/>
      <c r="B438" s="157"/>
      <c r="C438" s="157"/>
      <c r="D438" s="157"/>
      <c r="E438" s="157"/>
      <c r="F438" s="157"/>
    </row>
    <row r="439" spans="1:6" ht="15.75" x14ac:dyDescent="0.25">
      <c r="A439" s="157"/>
      <c r="B439" s="157"/>
      <c r="C439" s="157"/>
      <c r="D439" s="157"/>
      <c r="E439" s="157"/>
      <c r="F439" s="157"/>
    </row>
    <row r="440" spans="1:6" ht="15.75" x14ac:dyDescent="0.25">
      <c r="A440" s="157"/>
      <c r="B440" s="157"/>
      <c r="C440" s="157"/>
      <c r="D440" s="157"/>
      <c r="E440" s="157"/>
      <c r="F440" s="157"/>
    </row>
    <row r="441" spans="1:6" ht="15.75" x14ac:dyDescent="0.25">
      <c r="A441" s="157"/>
      <c r="B441" s="157"/>
      <c r="C441" s="157"/>
      <c r="D441" s="157"/>
      <c r="E441" s="157"/>
      <c r="F441" s="157"/>
    </row>
    <row r="442" spans="1:6" ht="15.75" x14ac:dyDescent="0.25">
      <c r="A442" s="157"/>
      <c r="B442" s="157"/>
      <c r="C442" s="157"/>
      <c r="D442" s="157"/>
      <c r="E442" s="157"/>
      <c r="F442" s="157"/>
    </row>
    <row r="443" spans="1:6" ht="15.75" x14ac:dyDescent="0.25">
      <c r="A443" s="157"/>
      <c r="B443" s="157"/>
      <c r="C443" s="157"/>
      <c r="D443" s="157"/>
      <c r="E443" s="157"/>
      <c r="F443" s="157"/>
    </row>
    <row r="444" spans="1:6" ht="15.75" x14ac:dyDescent="0.25">
      <c r="A444" s="157"/>
      <c r="B444" s="157"/>
      <c r="C444" s="157"/>
      <c r="D444" s="157"/>
      <c r="E444" s="157"/>
      <c r="F444" s="157"/>
    </row>
    <row r="445" spans="1:6" ht="15.75" x14ac:dyDescent="0.25">
      <c r="A445" s="157"/>
      <c r="B445" s="157"/>
      <c r="C445" s="157"/>
      <c r="D445" s="157"/>
      <c r="E445" s="157"/>
      <c r="F445" s="157"/>
    </row>
    <row r="446" spans="1:6" ht="15.75" x14ac:dyDescent="0.25">
      <c r="A446" s="157"/>
      <c r="B446" s="157"/>
      <c r="C446" s="157"/>
      <c r="D446" s="157"/>
      <c r="E446" s="157"/>
      <c r="F446" s="157"/>
    </row>
    <row r="447" spans="1:6" ht="15.75" x14ac:dyDescent="0.25">
      <c r="A447" s="157"/>
      <c r="B447" s="157"/>
      <c r="C447" s="157"/>
      <c r="D447" s="157"/>
      <c r="E447" s="157"/>
      <c r="F447" s="157"/>
    </row>
    <row r="448" spans="1:6" ht="15.75" x14ac:dyDescent="0.25">
      <c r="A448" s="157"/>
      <c r="B448" s="157"/>
      <c r="C448" s="157"/>
      <c r="D448" s="157"/>
      <c r="E448" s="157"/>
      <c r="F448" s="157"/>
    </row>
    <row r="449" spans="1:6" ht="15.75" x14ac:dyDescent="0.25">
      <c r="A449" s="157"/>
      <c r="B449" s="157"/>
      <c r="C449" s="157"/>
      <c r="D449" s="157"/>
      <c r="E449" s="157"/>
      <c r="F449" s="157"/>
    </row>
    <row r="450" spans="1:6" ht="15.75" x14ac:dyDescent="0.25">
      <c r="A450" s="157"/>
      <c r="B450" s="157"/>
      <c r="C450" s="157"/>
      <c r="D450" s="157"/>
      <c r="E450" s="157"/>
      <c r="F450" s="157"/>
    </row>
    <row r="451" spans="1:6" ht="15.75" x14ac:dyDescent="0.25">
      <c r="A451" s="157"/>
      <c r="B451" s="157"/>
      <c r="C451" s="157"/>
      <c r="D451" s="157"/>
      <c r="E451" s="157"/>
      <c r="F451" s="157"/>
    </row>
    <row r="452" spans="1:6" ht="15.75" x14ac:dyDescent="0.25">
      <c r="A452" s="157"/>
      <c r="B452" s="157"/>
      <c r="C452" s="157"/>
      <c r="D452" s="157"/>
      <c r="E452" s="157"/>
      <c r="F452" s="157"/>
    </row>
    <row r="453" spans="1:6" ht="15.75" x14ac:dyDescent="0.25">
      <c r="A453" s="157"/>
      <c r="B453" s="157"/>
      <c r="C453" s="157"/>
      <c r="D453" s="157"/>
      <c r="E453" s="157"/>
      <c r="F453" s="157"/>
    </row>
    <row r="454" spans="1:6" ht="15.75" x14ac:dyDescent="0.25">
      <c r="A454" s="157"/>
      <c r="B454" s="157"/>
      <c r="C454" s="157"/>
      <c r="D454" s="157"/>
      <c r="E454" s="157"/>
      <c r="F454" s="157"/>
    </row>
    <row r="455" spans="1:6" ht="15.75" x14ac:dyDescent="0.25">
      <c r="A455" s="157"/>
      <c r="B455" s="157"/>
      <c r="C455" s="157"/>
      <c r="D455" s="157"/>
      <c r="E455" s="157"/>
      <c r="F455" s="157"/>
    </row>
    <row r="456" spans="1:6" ht="15.75" x14ac:dyDescent="0.25">
      <c r="A456" s="157"/>
      <c r="B456" s="157"/>
      <c r="C456" s="157"/>
      <c r="D456" s="157"/>
      <c r="E456" s="157"/>
      <c r="F456" s="157"/>
    </row>
    <row r="457" spans="1:6" ht="15.75" x14ac:dyDescent="0.25">
      <c r="A457" s="157"/>
      <c r="B457" s="157"/>
      <c r="C457" s="157"/>
      <c r="D457" s="157"/>
      <c r="E457" s="157"/>
      <c r="F457" s="157"/>
    </row>
    <row r="458" spans="1:6" ht="15.75" x14ac:dyDescent="0.25">
      <c r="A458" s="157"/>
      <c r="B458" s="157"/>
      <c r="C458" s="157"/>
      <c r="D458" s="157"/>
      <c r="E458" s="157"/>
      <c r="F458" s="157"/>
    </row>
    <row r="459" spans="1:6" ht="15.75" x14ac:dyDescent="0.25">
      <c r="A459" s="157"/>
      <c r="B459" s="157"/>
      <c r="C459" s="157"/>
      <c r="D459" s="157"/>
      <c r="E459" s="157"/>
      <c r="F459" s="157"/>
    </row>
    <row r="460" spans="1:6" ht="15.75" x14ac:dyDescent="0.25">
      <c r="A460" s="157"/>
      <c r="B460" s="157"/>
      <c r="C460" s="157"/>
      <c r="D460" s="157"/>
      <c r="E460" s="157"/>
      <c r="F460" s="157"/>
    </row>
    <row r="461" spans="1:6" ht="15.75" x14ac:dyDescent="0.25">
      <c r="A461" s="157"/>
      <c r="B461" s="157"/>
      <c r="C461" s="157"/>
      <c r="D461" s="157"/>
      <c r="E461" s="157"/>
      <c r="F461" s="157"/>
    </row>
    <row r="462" spans="1:6" ht="15.75" x14ac:dyDescent="0.25">
      <c r="A462" s="157"/>
      <c r="B462" s="157"/>
      <c r="C462" s="157"/>
      <c r="D462" s="157"/>
      <c r="E462" s="157"/>
      <c r="F462" s="157"/>
    </row>
    <row r="463" spans="1:6" ht="15.75" x14ac:dyDescent="0.25">
      <c r="A463" s="157"/>
      <c r="B463" s="157"/>
      <c r="C463" s="157"/>
      <c r="D463" s="157"/>
      <c r="E463" s="157"/>
      <c r="F463" s="157"/>
    </row>
    <row r="464" spans="1:6" ht="15.75" x14ac:dyDescent="0.25">
      <c r="A464" s="157"/>
      <c r="B464" s="157"/>
      <c r="C464" s="157"/>
      <c r="D464" s="157"/>
      <c r="E464" s="157"/>
      <c r="F464" s="157"/>
    </row>
    <row r="465" spans="1:6" ht="15.75" x14ac:dyDescent="0.25">
      <c r="A465" s="157"/>
      <c r="B465" s="157"/>
      <c r="C465" s="157"/>
      <c r="D465" s="157"/>
      <c r="E465" s="157"/>
      <c r="F465" s="157"/>
    </row>
    <row r="466" spans="1:6" ht="15.75" x14ac:dyDescent="0.25">
      <c r="A466" s="157"/>
      <c r="B466" s="157"/>
      <c r="C466" s="157"/>
      <c r="D466" s="157"/>
      <c r="E466" s="157"/>
      <c r="F466" s="157"/>
    </row>
    <row r="467" spans="1:6" ht="15.75" x14ac:dyDescent="0.25">
      <c r="A467" s="157"/>
      <c r="B467" s="157"/>
      <c r="C467" s="157"/>
      <c r="D467" s="157"/>
      <c r="E467" s="157"/>
      <c r="F467" s="157"/>
    </row>
    <row r="468" spans="1:6" ht="15.75" x14ac:dyDescent="0.25">
      <c r="A468" s="157"/>
      <c r="B468" s="157"/>
      <c r="C468" s="157"/>
      <c r="D468" s="157"/>
      <c r="E468" s="157"/>
      <c r="F468" s="157"/>
    </row>
    <row r="469" spans="1:6" ht="15.75" x14ac:dyDescent="0.25">
      <c r="A469" s="157"/>
      <c r="B469" s="157"/>
      <c r="C469" s="157"/>
      <c r="D469" s="157"/>
      <c r="E469" s="157"/>
      <c r="F469" s="157"/>
    </row>
    <row r="470" spans="1:6" ht="15.75" x14ac:dyDescent="0.25">
      <c r="A470" s="157"/>
      <c r="B470" s="157"/>
      <c r="C470" s="157"/>
      <c r="D470" s="157"/>
      <c r="E470" s="157"/>
      <c r="F470" s="157"/>
    </row>
    <row r="471" spans="1:6" ht="15.75" x14ac:dyDescent="0.25">
      <c r="A471" s="157"/>
      <c r="B471" s="157"/>
      <c r="C471" s="157"/>
      <c r="D471" s="157"/>
      <c r="E471" s="157"/>
      <c r="F471" s="157"/>
    </row>
    <row r="472" spans="1:6" ht="15.75" x14ac:dyDescent="0.25">
      <c r="A472" s="157"/>
      <c r="B472" s="157"/>
      <c r="C472" s="157"/>
      <c r="D472" s="157"/>
      <c r="E472" s="157"/>
      <c r="F472" s="157"/>
    </row>
    <row r="473" spans="1:6" ht="15.75" x14ac:dyDescent="0.25">
      <c r="A473" s="157"/>
      <c r="B473" s="157"/>
      <c r="C473" s="157"/>
      <c r="D473" s="157"/>
      <c r="E473" s="157"/>
      <c r="F473" s="157"/>
    </row>
    <row r="474" spans="1:6" ht="15.75" x14ac:dyDescent="0.25">
      <c r="A474" s="157"/>
      <c r="B474" s="157"/>
      <c r="C474" s="157"/>
      <c r="D474" s="157"/>
      <c r="E474" s="157"/>
      <c r="F474" s="157"/>
    </row>
    <row r="475" spans="1:6" ht="15.75" x14ac:dyDescent="0.25">
      <c r="A475" s="157"/>
      <c r="B475" s="157"/>
      <c r="C475" s="157"/>
      <c r="D475" s="157"/>
      <c r="E475" s="157"/>
      <c r="F475" s="157"/>
    </row>
    <row r="476" spans="1:6" ht="15.75" x14ac:dyDescent="0.25">
      <c r="A476" s="157"/>
      <c r="B476" s="157"/>
      <c r="C476" s="157"/>
      <c r="D476" s="157"/>
      <c r="E476" s="157"/>
      <c r="F476" s="157"/>
    </row>
    <row r="477" spans="1:6" ht="15.75" x14ac:dyDescent="0.25">
      <c r="A477" s="157"/>
      <c r="B477" s="157"/>
      <c r="C477" s="157"/>
      <c r="D477" s="157"/>
      <c r="E477" s="157"/>
      <c r="F477" s="157"/>
    </row>
    <row r="478" spans="1:6" ht="15.75" x14ac:dyDescent="0.25">
      <c r="A478" s="157"/>
      <c r="B478" s="157"/>
      <c r="C478" s="157"/>
      <c r="D478" s="157"/>
      <c r="E478" s="157"/>
      <c r="F478" s="157"/>
    </row>
    <row r="479" spans="1:6" ht="15.75" x14ac:dyDescent="0.25">
      <c r="A479" s="157"/>
      <c r="B479" s="157"/>
      <c r="C479" s="157"/>
      <c r="D479" s="157"/>
      <c r="E479" s="157"/>
      <c r="F479" s="157"/>
    </row>
    <row r="480" spans="1:6" ht="15.75" x14ac:dyDescent="0.25">
      <c r="A480" s="157"/>
      <c r="B480" s="157"/>
      <c r="C480" s="157"/>
      <c r="D480" s="157"/>
      <c r="E480" s="157"/>
      <c r="F480" s="157"/>
    </row>
    <row r="481" spans="1:6" ht="15.75" x14ac:dyDescent="0.25">
      <c r="A481" s="157"/>
      <c r="B481" s="157"/>
      <c r="C481" s="157"/>
      <c r="D481" s="157"/>
      <c r="E481" s="157"/>
      <c r="F481" s="157"/>
    </row>
    <row r="482" spans="1:6" ht="15.75" x14ac:dyDescent="0.25">
      <c r="A482" s="157"/>
      <c r="B482" s="157"/>
      <c r="C482" s="157"/>
      <c r="D482" s="157"/>
      <c r="E482" s="157"/>
      <c r="F482" s="157"/>
    </row>
    <row r="483" spans="1:6" ht="15.75" x14ac:dyDescent="0.25">
      <c r="A483" s="157"/>
      <c r="B483" s="157"/>
      <c r="C483" s="157"/>
      <c r="D483" s="157"/>
      <c r="E483" s="157"/>
      <c r="F483" s="157"/>
    </row>
    <row r="484" spans="1:6" ht="15.75" x14ac:dyDescent="0.25">
      <c r="A484" s="157"/>
      <c r="B484" s="157"/>
      <c r="C484" s="157"/>
      <c r="D484" s="157"/>
      <c r="E484" s="157"/>
      <c r="F484" s="157"/>
    </row>
    <row r="485" spans="1:6" ht="15.75" x14ac:dyDescent="0.25">
      <c r="A485" s="157"/>
      <c r="B485" s="157"/>
      <c r="C485" s="157"/>
      <c r="D485" s="157"/>
      <c r="E485" s="157"/>
      <c r="F485" s="157"/>
    </row>
    <row r="486" spans="1:6" ht="15.75" x14ac:dyDescent="0.25">
      <c r="A486" s="157"/>
      <c r="B486" s="157"/>
      <c r="C486" s="157"/>
      <c r="D486" s="157"/>
      <c r="E486" s="157"/>
      <c r="F486" s="157"/>
    </row>
    <row r="487" spans="1:6" ht="15.75" x14ac:dyDescent="0.25">
      <c r="A487" s="157"/>
      <c r="B487" s="157"/>
      <c r="C487" s="157"/>
      <c r="D487" s="157"/>
      <c r="E487" s="157"/>
      <c r="F487" s="157"/>
    </row>
    <row r="488" spans="1:6" ht="15.75" x14ac:dyDescent="0.25">
      <c r="A488" s="157"/>
      <c r="B488" s="157"/>
      <c r="C488" s="157"/>
      <c r="D488" s="157"/>
      <c r="E488" s="157"/>
      <c r="F488" s="157"/>
    </row>
    <row r="489" spans="1:6" ht="15.75" x14ac:dyDescent="0.25">
      <c r="A489" s="157"/>
      <c r="B489" s="157"/>
      <c r="C489" s="157"/>
      <c r="D489" s="157"/>
      <c r="E489" s="157"/>
      <c r="F489" s="157"/>
    </row>
    <row r="490" spans="1:6" ht="15.75" x14ac:dyDescent="0.25">
      <c r="A490" s="157"/>
      <c r="B490" s="157"/>
      <c r="C490" s="157"/>
      <c r="D490" s="157"/>
      <c r="E490" s="157"/>
      <c r="F490" s="157"/>
    </row>
    <row r="491" spans="1:6" ht="15.75" x14ac:dyDescent="0.25">
      <c r="A491" s="157"/>
      <c r="B491" s="157"/>
      <c r="C491" s="157"/>
      <c r="D491" s="157"/>
      <c r="E491" s="157"/>
      <c r="F491" s="157"/>
    </row>
    <row r="492" spans="1:6" ht="15.75" x14ac:dyDescent="0.25">
      <c r="A492" s="157"/>
      <c r="B492" s="157"/>
      <c r="C492" s="157"/>
      <c r="D492" s="157"/>
      <c r="E492" s="157"/>
      <c r="F492" s="157"/>
    </row>
    <row r="493" spans="1:6" ht="15.75" x14ac:dyDescent="0.25">
      <c r="A493" s="157"/>
      <c r="B493" s="157"/>
      <c r="C493" s="157"/>
      <c r="D493" s="157"/>
      <c r="E493" s="157"/>
      <c r="F493" s="157"/>
    </row>
    <row r="494" spans="1:6" ht="15.75" x14ac:dyDescent="0.25">
      <c r="A494" s="157"/>
      <c r="B494" s="157"/>
      <c r="C494" s="157"/>
      <c r="D494" s="157"/>
      <c r="E494" s="157"/>
      <c r="F494" s="157"/>
    </row>
    <row r="495" spans="1:6" ht="15.75" x14ac:dyDescent="0.25">
      <c r="A495" s="157"/>
      <c r="B495" s="157"/>
      <c r="C495" s="157"/>
      <c r="D495" s="157"/>
      <c r="E495" s="157"/>
      <c r="F495" s="157"/>
    </row>
    <row r="496" spans="1:6" ht="15.75" x14ac:dyDescent="0.25">
      <c r="A496" s="157"/>
      <c r="B496" s="157"/>
      <c r="C496" s="157"/>
      <c r="D496" s="157"/>
      <c r="E496" s="157"/>
      <c r="F496" s="157"/>
    </row>
    <row r="497" spans="1:6" ht="15.75" x14ac:dyDescent="0.25">
      <c r="A497" s="157"/>
      <c r="B497" s="157"/>
      <c r="C497" s="157"/>
      <c r="D497" s="157"/>
      <c r="E497" s="157"/>
      <c r="F497" s="157"/>
    </row>
    <row r="498" spans="1:6" ht="15.75" x14ac:dyDescent="0.25">
      <c r="A498" s="157"/>
      <c r="B498" s="157"/>
      <c r="C498" s="157"/>
      <c r="D498" s="157"/>
      <c r="E498" s="157"/>
      <c r="F498" s="157"/>
    </row>
    <row r="499" spans="1:6" ht="15.75" x14ac:dyDescent="0.25">
      <c r="A499" s="157"/>
      <c r="B499" s="157"/>
      <c r="C499" s="157"/>
      <c r="D499" s="157"/>
      <c r="E499" s="157"/>
      <c r="F499" s="157"/>
    </row>
    <row r="500" spans="1:6" ht="15.75" x14ac:dyDescent="0.25">
      <c r="A500" s="157"/>
      <c r="B500" s="157"/>
      <c r="C500" s="157"/>
      <c r="D500" s="157"/>
      <c r="E500" s="157"/>
      <c r="F500" s="157"/>
    </row>
    <row r="501" spans="1:6" ht="15.75" x14ac:dyDescent="0.25">
      <c r="A501" s="157"/>
      <c r="B501" s="157"/>
      <c r="C501" s="157"/>
      <c r="D501" s="157"/>
      <c r="E501" s="157"/>
      <c r="F501" s="157"/>
    </row>
    <row r="502" spans="1:6" ht="15.75" x14ac:dyDescent="0.25">
      <c r="A502" s="157"/>
      <c r="B502" s="157"/>
      <c r="C502" s="157"/>
      <c r="D502" s="157"/>
      <c r="E502" s="157"/>
      <c r="F502" s="157"/>
    </row>
    <row r="503" spans="1:6" ht="15.75" x14ac:dyDescent="0.25">
      <c r="A503" s="157"/>
      <c r="B503" s="157"/>
      <c r="C503" s="157"/>
      <c r="D503" s="157"/>
      <c r="E503" s="157"/>
      <c r="F503" s="157"/>
    </row>
    <row r="504" spans="1:6" ht="15.75" x14ac:dyDescent="0.25">
      <c r="A504" s="157"/>
      <c r="B504" s="157"/>
      <c r="C504" s="157"/>
      <c r="D504" s="157"/>
      <c r="E504" s="157"/>
      <c r="F504" s="157"/>
    </row>
    <row r="505" spans="1:6" ht="15.75" x14ac:dyDescent="0.25">
      <c r="A505" s="157"/>
      <c r="B505" s="157"/>
      <c r="C505" s="157"/>
      <c r="D505" s="157"/>
      <c r="E505" s="157"/>
      <c r="F505" s="157"/>
    </row>
    <row r="506" spans="1:6" ht="15.75" x14ac:dyDescent="0.25">
      <c r="A506" s="157"/>
      <c r="B506" s="157"/>
      <c r="C506" s="157"/>
      <c r="D506" s="157"/>
      <c r="E506" s="157"/>
      <c r="F506" s="157"/>
    </row>
    <row r="507" spans="1:6" ht="15.75" x14ac:dyDescent="0.25">
      <c r="A507" s="157"/>
      <c r="B507" s="157"/>
      <c r="C507" s="157"/>
      <c r="D507" s="157"/>
      <c r="E507" s="157"/>
      <c r="F507" s="157"/>
    </row>
    <row r="508" spans="1:6" ht="15.75" x14ac:dyDescent="0.25">
      <c r="A508" s="157"/>
      <c r="B508" s="157"/>
      <c r="C508" s="157"/>
      <c r="D508" s="157"/>
      <c r="E508" s="157"/>
      <c r="F508" s="157"/>
    </row>
    <row r="509" spans="1:6" ht="15.75" x14ac:dyDescent="0.25">
      <c r="A509" s="157"/>
      <c r="B509" s="157"/>
      <c r="C509" s="157"/>
      <c r="D509" s="157"/>
      <c r="E509" s="157"/>
      <c r="F509" s="157"/>
    </row>
    <row r="510" spans="1:6" ht="15.75" x14ac:dyDescent="0.25">
      <c r="A510" s="157"/>
      <c r="B510" s="157"/>
      <c r="C510" s="157"/>
      <c r="D510" s="157"/>
      <c r="E510" s="157"/>
      <c r="F510" s="157"/>
    </row>
    <row r="511" spans="1:6" ht="15.75" x14ac:dyDescent="0.25">
      <c r="A511" s="157"/>
      <c r="B511" s="157"/>
      <c r="C511" s="157"/>
      <c r="D511" s="157"/>
      <c r="E511" s="157"/>
      <c r="F511" s="157"/>
    </row>
    <row r="512" spans="1:6" ht="15.75" x14ac:dyDescent="0.25">
      <c r="A512" s="157"/>
      <c r="B512" s="157"/>
      <c r="C512" s="157"/>
      <c r="D512" s="157"/>
      <c r="E512" s="157"/>
      <c r="F512" s="157"/>
    </row>
    <row r="513" spans="1:6" ht="15.75" x14ac:dyDescent="0.25">
      <c r="A513" s="157"/>
      <c r="B513" s="157"/>
      <c r="C513" s="157"/>
      <c r="D513" s="157"/>
      <c r="E513" s="157"/>
      <c r="F513" s="157"/>
    </row>
    <row r="514" spans="1:6" ht="15.75" x14ac:dyDescent="0.25">
      <c r="A514" s="157"/>
      <c r="B514" s="157"/>
      <c r="C514" s="157"/>
      <c r="D514" s="157"/>
      <c r="E514" s="157"/>
      <c r="F514" s="157"/>
    </row>
    <row r="515" spans="1:6" ht="15.75" x14ac:dyDescent="0.25">
      <c r="A515" s="157"/>
      <c r="B515" s="157"/>
      <c r="C515" s="157"/>
      <c r="D515" s="157"/>
      <c r="E515" s="157"/>
      <c r="F515" s="157"/>
    </row>
    <row r="516" spans="1:6" ht="15.75" x14ac:dyDescent="0.25">
      <c r="A516" s="157"/>
      <c r="B516" s="157"/>
      <c r="C516" s="157"/>
      <c r="D516" s="157"/>
      <c r="E516" s="157"/>
      <c r="F516" s="157"/>
    </row>
    <row r="517" spans="1:6" ht="15.75" x14ac:dyDescent="0.25">
      <c r="A517" s="157"/>
      <c r="B517" s="157"/>
      <c r="C517" s="157"/>
      <c r="D517" s="157"/>
      <c r="E517" s="157"/>
      <c r="F517" s="157"/>
    </row>
    <row r="518" spans="1:6" ht="15.75" x14ac:dyDescent="0.25">
      <c r="A518" s="157"/>
      <c r="B518" s="157"/>
      <c r="C518" s="157"/>
      <c r="D518" s="157"/>
      <c r="E518" s="157"/>
      <c r="F518" s="157"/>
    </row>
    <row r="519" spans="1:6" ht="15.75" x14ac:dyDescent="0.25">
      <c r="A519" s="157"/>
      <c r="B519" s="157"/>
      <c r="C519" s="157"/>
      <c r="D519" s="157"/>
      <c r="E519" s="157"/>
      <c r="F519" s="157"/>
    </row>
    <row r="520" spans="1:6" ht="15.75" x14ac:dyDescent="0.25">
      <c r="A520" s="157"/>
      <c r="B520" s="157"/>
      <c r="C520" s="157"/>
      <c r="D520" s="157"/>
      <c r="E520" s="157"/>
      <c r="F520" s="157"/>
    </row>
    <row r="521" spans="1:6" ht="15.75" x14ac:dyDescent="0.25">
      <c r="A521" s="157"/>
      <c r="B521" s="157"/>
      <c r="C521" s="157"/>
      <c r="D521" s="157"/>
      <c r="E521" s="157"/>
      <c r="F521" s="157"/>
    </row>
    <row r="522" spans="1:6" ht="15.75" x14ac:dyDescent="0.25">
      <c r="A522" s="157"/>
      <c r="B522" s="157"/>
      <c r="C522" s="157"/>
      <c r="D522" s="157"/>
      <c r="E522" s="157"/>
      <c r="F522" s="157"/>
    </row>
    <row r="523" spans="1:6" ht="15.75" x14ac:dyDescent="0.25">
      <c r="A523" s="157"/>
      <c r="B523" s="157"/>
      <c r="C523" s="157"/>
      <c r="D523" s="157"/>
      <c r="E523" s="157"/>
      <c r="F523" s="157"/>
    </row>
    <row r="524" spans="1:6" ht="15.75" x14ac:dyDescent="0.25">
      <c r="A524" s="157"/>
      <c r="B524" s="157"/>
      <c r="C524" s="157"/>
      <c r="D524" s="157"/>
      <c r="E524" s="157"/>
      <c r="F524" s="157"/>
    </row>
    <row r="525" spans="1:6" ht="15.75" x14ac:dyDescent="0.25">
      <c r="A525" s="157"/>
      <c r="B525" s="157"/>
      <c r="C525" s="157"/>
      <c r="D525" s="157"/>
      <c r="E525" s="157"/>
      <c r="F525" s="157"/>
    </row>
    <row r="526" spans="1:6" ht="15.75" x14ac:dyDescent="0.25">
      <c r="A526" s="157"/>
      <c r="B526" s="157"/>
      <c r="C526" s="157"/>
      <c r="D526" s="157"/>
      <c r="E526" s="157"/>
      <c r="F526" s="157"/>
    </row>
    <row r="527" spans="1:6" ht="15.75" x14ac:dyDescent="0.25">
      <c r="A527" s="157"/>
      <c r="B527" s="157"/>
      <c r="C527" s="157"/>
      <c r="D527" s="157"/>
      <c r="E527" s="157"/>
      <c r="F527" s="157"/>
    </row>
    <row r="528" spans="1:6" ht="15.75" x14ac:dyDescent="0.25">
      <c r="A528" s="157"/>
      <c r="B528" s="157"/>
      <c r="C528" s="157"/>
      <c r="D528" s="157"/>
      <c r="E528" s="157"/>
      <c r="F528" s="157"/>
    </row>
    <row r="529" spans="1:6" ht="15.75" x14ac:dyDescent="0.25">
      <c r="A529" s="157"/>
      <c r="B529" s="157"/>
      <c r="C529" s="157"/>
      <c r="D529" s="157"/>
      <c r="E529" s="157"/>
      <c r="F529" s="157"/>
    </row>
    <row r="530" spans="1:6" ht="15.75" x14ac:dyDescent="0.25">
      <c r="A530" s="157"/>
      <c r="B530" s="157"/>
      <c r="C530" s="157"/>
      <c r="D530" s="157"/>
      <c r="E530" s="157"/>
      <c r="F530" s="157"/>
    </row>
    <row r="531" spans="1:6" ht="15.75" x14ac:dyDescent="0.25">
      <c r="A531" s="157"/>
      <c r="B531" s="157"/>
      <c r="C531" s="157"/>
      <c r="D531" s="157"/>
      <c r="E531" s="157"/>
      <c r="F531" s="157"/>
    </row>
    <row r="532" spans="1:6" ht="15.75" x14ac:dyDescent="0.25">
      <c r="A532" s="157"/>
      <c r="B532" s="157"/>
      <c r="C532" s="157"/>
      <c r="D532" s="157"/>
      <c r="E532" s="157"/>
      <c r="F532" s="157"/>
    </row>
    <row r="533" spans="1:6" ht="15.75" x14ac:dyDescent="0.25">
      <c r="A533" s="157"/>
      <c r="B533" s="157"/>
      <c r="C533" s="157"/>
      <c r="D533" s="157"/>
      <c r="E533" s="157"/>
      <c r="F533" s="157"/>
    </row>
    <row r="534" spans="1:6" ht="15.75" x14ac:dyDescent="0.25">
      <c r="A534" s="157"/>
      <c r="B534" s="157"/>
      <c r="C534" s="157"/>
      <c r="D534" s="157"/>
      <c r="E534" s="157"/>
      <c r="F534" s="157"/>
    </row>
    <row r="535" spans="1:6" ht="15.75" x14ac:dyDescent="0.25">
      <c r="A535" s="157"/>
      <c r="B535" s="157"/>
      <c r="C535" s="157"/>
      <c r="D535" s="157"/>
      <c r="E535" s="157"/>
      <c r="F535" s="157"/>
    </row>
    <row r="536" spans="1:6" ht="15.75" x14ac:dyDescent="0.25">
      <c r="A536" s="157"/>
      <c r="B536" s="157"/>
      <c r="C536" s="157"/>
      <c r="D536" s="157"/>
      <c r="E536" s="157"/>
      <c r="F536" s="157"/>
    </row>
    <row r="537" spans="1:6" ht="15.75" x14ac:dyDescent="0.25">
      <c r="A537" s="157"/>
      <c r="B537" s="157"/>
      <c r="C537" s="157"/>
      <c r="D537" s="157"/>
      <c r="E537" s="157"/>
      <c r="F537" s="157"/>
    </row>
    <row r="538" spans="1:6" ht="15.75" x14ac:dyDescent="0.25">
      <c r="A538" s="157"/>
      <c r="B538" s="157"/>
      <c r="C538" s="157"/>
      <c r="D538" s="157"/>
      <c r="E538" s="157"/>
      <c r="F538" s="157"/>
    </row>
    <row r="539" spans="1:6" ht="15.75" x14ac:dyDescent="0.25">
      <c r="A539" s="157"/>
      <c r="B539" s="157"/>
      <c r="C539" s="157"/>
      <c r="D539" s="157"/>
      <c r="E539" s="157"/>
      <c r="F539" s="157"/>
    </row>
    <row r="540" spans="1:6" ht="15.75" x14ac:dyDescent="0.25">
      <c r="A540" s="157"/>
      <c r="B540" s="157"/>
      <c r="C540" s="157"/>
      <c r="D540" s="157"/>
      <c r="E540" s="157"/>
      <c r="F540" s="157"/>
    </row>
    <row r="541" spans="1:6" ht="15.75" x14ac:dyDescent="0.25">
      <c r="A541" s="157"/>
      <c r="B541" s="157"/>
      <c r="C541" s="157"/>
      <c r="D541" s="157"/>
      <c r="E541" s="157"/>
      <c r="F541" s="157"/>
    </row>
    <row r="542" spans="1:6" ht="15.75" x14ac:dyDescent="0.25">
      <c r="A542" s="157"/>
      <c r="B542" s="157"/>
      <c r="C542" s="157"/>
      <c r="D542" s="157"/>
      <c r="E542" s="157"/>
      <c r="F542" s="157"/>
    </row>
    <row r="543" spans="1:6" ht="15.75" x14ac:dyDescent="0.25">
      <c r="A543" s="157"/>
      <c r="B543" s="157"/>
      <c r="C543" s="157"/>
      <c r="D543" s="157"/>
      <c r="E543" s="157"/>
      <c r="F543" s="157"/>
    </row>
    <row r="544" spans="1:6" ht="15.75" x14ac:dyDescent="0.25">
      <c r="A544" s="157"/>
      <c r="B544" s="157"/>
      <c r="C544" s="157"/>
      <c r="D544" s="157"/>
      <c r="E544" s="157"/>
      <c r="F544" s="157"/>
    </row>
    <row r="545" spans="1:6" ht="15.75" x14ac:dyDescent="0.25">
      <c r="A545" s="157"/>
      <c r="B545" s="157"/>
      <c r="C545" s="157"/>
      <c r="D545" s="157"/>
      <c r="E545" s="157"/>
      <c r="F545" s="157"/>
    </row>
    <row r="546" spans="1:6" ht="15.75" x14ac:dyDescent="0.25">
      <c r="A546" s="157"/>
      <c r="B546" s="157"/>
      <c r="C546" s="157"/>
      <c r="D546" s="157"/>
      <c r="E546" s="157"/>
      <c r="F546" s="157"/>
    </row>
    <row r="547" spans="1:6" ht="15.75" x14ac:dyDescent="0.25">
      <c r="A547" s="157"/>
      <c r="B547" s="157"/>
      <c r="C547" s="157"/>
      <c r="D547" s="157"/>
      <c r="E547" s="157"/>
      <c r="F547" s="157"/>
    </row>
    <row r="548" spans="1:6" ht="15.75" x14ac:dyDescent="0.25">
      <c r="A548" s="157"/>
      <c r="B548" s="157"/>
      <c r="C548" s="157"/>
      <c r="D548" s="157"/>
      <c r="E548" s="157"/>
      <c r="F548" s="157"/>
    </row>
    <row r="549" spans="1:6" ht="15.75" x14ac:dyDescent="0.25">
      <c r="A549" s="157"/>
      <c r="B549" s="157"/>
      <c r="C549" s="157"/>
      <c r="D549" s="157"/>
      <c r="E549" s="157"/>
      <c r="F549" s="157"/>
    </row>
    <row r="550" spans="1:6" ht="15.75" x14ac:dyDescent="0.25">
      <c r="A550" s="157"/>
      <c r="B550" s="157"/>
      <c r="C550" s="157"/>
      <c r="D550" s="157"/>
      <c r="E550" s="157"/>
      <c r="F550" s="157"/>
    </row>
    <row r="551" spans="1:6" ht="15.75" x14ac:dyDescent="0.25">
      <c r="A551" s="157"/>
      <c r="B551" s="157"/>
      <c r="C551" s="157"/>
      <c r="D551" s="157"/>
      <c r="E551" s="157"/>
      <c r="F551" s="157"/>
    </row>
    <row r="552" spans="1:6" ht="15.75" x14ac:dyDescent="0.25">
      <c r="A552" s="157"/>
      <c r="B552" s="157"/>
      <c r="C552" s="157"/>
      <c r="D552" s="157"/>
      <c r="E552" s="157"/>
      <c r="F552" s="157"/>
    </row>
    <row r="553" spans="1:6" ht="15.75" x14ac:dyDescent="0.25">
      <c r="A553" s="157"/>
      <c r="B553" s="157"/>
      <c r="C553" s="157"/>
      <c r="D553" s="157"/>
      <c r="E553" s="157"/>
      <c r="F553" s="157"/>
    </row>
    <row r="554" spans="1:6" ht="15.75" x14ac:dyDescent="0.25">
      <c r="A554" s="157"/>
      <c r="B554" s="157"/>
      <c r="C554" s="157"/>
      <c r="D554" s="157"/>
      <c r="E554" s="157"/>
      <c r="F554" s="157"/>
    </row>
    <row r="555" spans="1:6" ht="15.75" x14ac:dyDescent="0.25">
      <c r="A555" s="157"/>
      <c r="B555" s="157"/>
      <c r="C555" s="157"/>
      <c r="D555" s="157"/>
      <c r="E555" s="157"/>
      <c r="F555" s="157"/>
    </row>
    <row r="556" spans="1:6" ht="15.75" x14ac:dyDescent="0.25">
      <c r="A556" s="157"/>
      <c r="B556" s="157"/>
      <c r="C556" s="157"/>
      <c r="D556" s="157"/>
      <c r="E556" s="157"/>
      <c r="F556" s="157"/>
    </row>
    <row r="557" spans="1:6" ht="15.75" x14ac:dyDescent="0.25">
      <c r="A557" s="157"/>
      <c r="B557" s="157"/>
      <c r="C557" s="157"/>
      <c r="D557" s="157"/>
      <c r="E557" s="157"/>
      <c r="F557" s="157"/>
    </row>
    <row r="558" spans="1:6" ht="15.75" x14ac:dyDescent="0.25">
      <c r="A558" s="157"/>
      <c r="B558" s="157"/>
      <c r="C558" s="157"/>
      <c r="D558" s="157"/>
      <c r="E558" s="157"/>
      <c r="F558" s="157"/>
    </row>
    <row r="559" spans="1:6" ht="15.75" x14ac:dyDescent="0.25">
      <c r="A559" s="157"/>
      <c r="B559" s="157"/>
      <c r="C559" s="157"/>
      <c r="D559" s="157"/>
      <c r="E559" s="157"/>
      <c r="F559" s="157"/>
    </row>
    <row r="560" spans="1:6" ht="15.75" x14ac:dyDescent="0.25">
      <c r="A560" s="157"/>
      <c r="B560" s="157"/>
      <c r="C560" s="157"/>
      <c r="D560" s="157"/>
      <c r="E560" s="157"/>
      <c r="F560" s="157"/>
    </row>
    <row r="561" spans="1:6" ht="15.75" x14ac:dyDescent="0.25">
      <c r="A561" s="157"/>
      <c r="B561" s="157"/>
      <c r="C561" s="157"/>
      <c r="D561" s="157"/>
      <c r="E561" s="157"/>
      <c r="F561" s="157"/>
    </row>
    <row r="562" spans="1:6" ht="15.75" x14ac:dyDescent="0.25">
      <c r="A562" s="157"/>
      <c r="B562" s="157"/>
      <c r="C562" s="157"/>
      <c r="D562" s="157"/>
      <c r="E562" s="157"/>
      <c r="F562" s="157"/>
    </row>
    <row r="563" spans="1:6" ht="15.75" x14ac:dyDescent="0.25">
      <c r="A563" s="157"/>
      <c r="B563" s="157"/>
      <c r="C563" s="157"/>
      <c r="D563" s="157"/>
      <c r="E563" s="157"/>
      <c r="F563" s="157"/>
    </row>
    <row r="564" spans="1:6" ht="15.75" x14ac:dyDescent="0.25">
      <c r="A564" s="157"/>
      <c r="B564" s="157"/>
      <c r="C564" s="157"/>
      <c r="D564" s="157"/>
      <c r="E564" s="157"/>
      <c r="F564" s="157"/>
    </row>
    <row r="565" spans="1:6" ht="15.75" x14ac:dyDescent="0.25">
      <c r="A565" s="157"/>
      <c r="B565" s="157"/>
      <c r="C565" s="157"/>
      <c r="D565" s="157"/>
      <c r="E565" s="157"/>
      <c r="F565" s="157"/>
    </row>
    <row r="566" spans="1:6" ht="15.75" x14ac:dyDescent="0.25">
      <c r="A566" s="157"/>
      <c r="B566" s="157"/>
      <c r="C566" s="157"/>
      <c r="D566" s="157"/>
      <c r="E566" s="157"/>
      <c r="F566" s="157"/>
    </row>
    <row r="567" spans="1:6" ht="15.75" x14ac:dyDescent="0.25">
      <c r="A567" s="157"/>
      <c r="B567" s="157"/>
      <c r="C567" s="157"/>
      <c r="D567" s="157"/>
      <c r="E567" s="157"/>
      <c r="F567" s="157"/>
    </row>
    <row r="568" spans="1:6" ht="15.75" x14ac:dyDescent="0.25">
      <c r="A568" s="157"/>
      <c r="B568" s="157"/>
      <c r="C568" s="157"/>
      <c r="D568" s="157"/>
      <c r="E568" s="157"/>
      <c r="F568" s="157"/>
    </row>
    <row r="569" spans="1:6" ht="15.75" x14ac:dyDescent="0.25">
      <c r="A569" s="157"/>
      <c r="B569" s="157"/>
      <c r="C569" s="157"/>
      <c r="D569" s="157"/>
      <c r="E569" s="157"/>
      <c r="F569" s="157"/>
    </row>
    <row r="570" spans="1:6" ht="15.75" x14ac:dyDescent="0.25">
      <c r="A570" s="157"/>
      <c r="B570" s="157"/>
      <c r="C570" s="157"/>
      <c r="D570" s="157"/>
      <c r="E570" s="157"/>
      <c r="F570" s="157"/>
    </row>
    <row r="571" spans="1:6" ht="15.75" x14ac:dyDescent="0.25">
      <c r="A571" s="157"/>
      <c r="B571" s="157"/>
      <c r="C571" s="157"/>
      <c r="D571" s="157"/>
      <c r="E571" s="157"/>
      <c r="F571" s="157"/>
    </row>
    <row r="572" spans="1:6" ht="15.75" x14ac:dyDescent="0.25">
      <c r="A572" s="157"/>
      <c r="B572" s="157"/>
      <c r="C572" s="157"/>
      <c r="D572" s="157"/>
      <c r="E572" s="157"/>
      <c r="F572" s="157"/>
    </row>
    <row r="573" spans="1:6" ht="15.75" x14ac:dyDescent="0.25">
      <c r="A573" s="157"/>
      <c r="B573" s="157"/>
      <c r="C573" s="157"/>
      <c r="D573" s="157"/>
      <c r="E573" s="157"/>
      <c r="F573" s="157"/>
    </row>
    <row r="574" spans="1:6" ht="15.75" x14ac:dyDescent="0.25">
      <c r="A574" s="157"/>
      <c r="B574" s="157"/>
      <c r="C574" s="157"/>
      <c r="D574" s="157"/>
      <c r="E574" s="157"/>
      <c r="F574" s="157"/>
    </row>
    <row r="575" spans="1:6" ht="15.75" x14ac:dyDescent="0.25">
      <c r="A575" s="157"/>
      <c r="B575" s="157"/>
      <c r="C575" s="157"/>
      <c r="D575" s="157"/>
      <c r="E575" s="157"/>
      <c r="F575" s="157"/>
    </row>
    <row r="576" spans="1:6" ht="15.75" x14ac:dyDescent="0.25">
      <c r="A576" s="157"/>
      <c r="B576" s="157"/>
      <c r="C576" s="157"/>
      <c r="D576" s="157"/>
      <c r="E576" s="157"/>
      <c r="F576" s="157"/>
    </row>
    <row r="577" spans="1:6" ht="15.75" x14ac:dyDescent="0.25">
      <c r="A577" s="157"/>
      <c r="B577" s="157"/>
      <c r="C577" s="157"/>
      <c r="D577" s="157"/>
      <c r="E577" s="157"/>
      <c r="F577" s="157"/>
    </row>
    <row r="578" spans="1:6" ht="15.75" x14ac:dyDescent="0.25">
      <c r="A578" s="157"/>
      <c r="B578" s="157"/>
      <c r="C578" s="157"/>
      <c r="D578" s="157"/>
      <c r="E578" s="157"/>
      <c r="F578" s="157"/>
    </row>
    <row r="579" spans="1:6" ht="15.75" x14ac:dyDescent="0.25">
      <c r="A579" s="157"/>
      <c r="B579" s="157"/>
      <c r="C579" s="157"/>
      <c r="D579" s="157"/>
      <c r="E579" s="157"/>
      <c r="F579" s="157"/>
    </row>
    <row r="580" spans="1:6" ht="15.75" x14ac:dyDescent="0.25">
      <c r="A580" s="157"/>
      <c r="B580" s="157"/>
      <c r="C580" s="157"/>
      <c r="D580" s="157"/>
      <c r="E580" s="157"/>
      <c r="F580" s="157"/>
    </row>
    <row r="581" spans="1:6" ht="15.75" x14ac:dyDescent="0.25">
      <c r="A581" s="157"/>
      <c r="B581" s="157"/>
      <c r="C581" s="157"/>
      <c r="D581" s="157"/>
      <c r="E581" s="157"/>
      <c r="F581" s="157"/>
    </row>
    <row r="582" spans="1:6" ht="15.75" x14ac:dyDescent="0.25">
      <c r="A582" s="157"/>
      <c r="B582" s="157"/>
      <c r="C582" s="157"/>
      <c r="D582" s="157"/>
      <c r="E582" s="157"/>
      <c r="F582" s="157"/>
    </row>
    <row r="583" spans="1:6" ht="15.75" x14ac:dyDescent="0.25">
      <c r="A583" s="157"/>
      <c r="B583" s="157"/>
      <c r="C583" s="157"/>
      <c r="D583" s="157"/>
      <c r="E583" s="157"/>
      <c r="F583" s="157"/>
    </row>
    <row r="584" spans="1:6" ht="15.75" x14ac:dyDescent="0.25">
      <c r="A584" s="157"/>
      <c r="B584" s="157"/>
      <c r="C584" s="157"/>
      <c r="D584" s="157"/>
      <c r="E584" s="157"/>
      <c r="F584" s="157"/>
    </row>
    <row r="585" spans="1:6" ht="15.75" x14ac:dyDescent="0.25">
      <c r="A585" s="157"/>
      <c r="B585" s="157"/>
      <c r="C585" s="157"/>
      <c r="D585" s="157"/>
      <c r="E585" s="157"/>
      <c r="F585" s="157"/>
    </row>
    <row r="586" spans="1:6" ht="15.75" x14ac:dyDescent="0.25">
      <c r="A586" s="157"/>
      <c r="B586" s="157"/>
      <c r="C586" s="157"/>
      <c r="D586" s="157"/>
      <c r="E586" s="157"/>
      <c r="F586" s="157"/>
    </row>
    <row r="587" spans="1:6" ht="15.75" x14ac:dyDescent="0.25">
      <c r="A587" s="157"/>
      <c r="B587" s="157"/>
      <c r="C587" s="157"/>
      <c r="D587" s="157"/>
      <c r="E587" s="157"/>
      <c r="F587" s="157"/>
    </row>
    <row r="588" spans="1:6" ht="15.75" x14ac:dyDescent="0.25">
      <c r="A588" s="157"/>
      <c r="B588" s="157"/>
      <c r="C588" s="157"/>
      <c r="D588" s="157"/>
      <c r="E588" s="157"/>
      <c r="F588" s="157"/>
    </row>
    <row r="589" spans="1:6" ht="15.75" x14ac:dyDescent="0.25">
      <c r="A589" s="157"/>
      <c r="B589" s="157"/>
      <c r="C589" s="157"/>
      <c r="D589" s="157"/>
      <c r="E589" s="157"/>
      <c r="F589" s="157"/>
    </row>
    <row r="590" spans="1:6" ht="15.75" x14ac:dyDescent="0.25">
      <c r="A590" s="157"/>
      <c r="B590" s="157"/>
      <c r="C590" s="157"/>
      <c r="D590" s="157"/>
      <c r="E590" s="157"/>
      <c r="F590" s="157"/>
    </row>
    <row r="591" spans="1:6" ht="15.75" x14ac:dyDescent="0.25">
      <c r="A591" s="157"/>
      <c r="B591" s="157"/>
      <c r="C591" s="157"/>
      <c r="D591" s="157"/>
      <c r="E591" s="157"/>
      <c r="F591" s="157"/>
    </row>
    <row r="592" spans="1:6" ht="15.75" x14ac:dyDescent="0.25">
      <c r="A592" s="157"/>
      <c r="B592" s="157"/>
      <c r="C592" s="157"/>
      <c r="D592" s="157"/>
      <c r="E592" s="157"/>
      <c r="F592" s="157"/>
    </row>
    <row r="593" spans="1:6" ht="15.75" x14ac:dyDescent="0.25">
      <c r="A593" s="157"/>
      <c r="B593" s="157"/>
      <c r="C593" s="157"/>
      <c r="D593" s="157"/>
      <c r="E593" s="157"/>
      <c r="F593" s="157"/>
    </row>
    <row r="594" spans="1:6" ht="15.75" x14ac:dyDescent="0.25">
      <c r="A594" s="157"/>
      <c r="B594" s="157"/>
      <c r="C594" s="157"/>
      <c r="D594" s="157"/>
      <c r="E594" s="157"/>
      <c r="F594" s="157"/>
    </row>
    <row r="595" spans="1:6" ht="15.75" x14ac:dyDescent="0.25">
      <c r="A595" s="157"/>
      <c r="B595" s="157"/>
      <c r="C595" s="157"/>
      <c r="D595" s="157"/>
      <c r="E595" s="157"/>
      <c r="F595" s="157"/>
    </row>
    <row r="596" spans="1:6" ht="15.75" x14ac:dyDescent="0.25">
      <c r="A596" s="157"/>
      <c r="B596" s="157"/>
      <c r="C596" s="157"/>
      <c r="D596" s="157"/>
      <c r="E596" s="157"/>
      <c r="F596" s="157"/>
    </row>
    <row r="597" spans="1:6" ht="15.75" x14ac:dyDescent="0.25">
      <c r="A597" s="157"/>
      <c r="B597" s="157"/>
      <c r="C597" s="157"/>
      <c r="D597" s="157"/>
      <c r="E597" s="157"/>
      <c r="F597" s="157"/>
    </row>
    <row r="598" spans="1:6" ht="15.75" x14ac:dyDescent="0.25">
      <c r="A598" s="157"/>
      <c r="B598" s="157"/>
      <c r="C598" s="157"/>
      <c r="D598" s="157"/>
      <c r="E598" s="157"/>
      <c r="F598" s="157"/>
    </row>
    <row r="599" spans="1:6" ht="15.75" x14ac:dyDescent="0.25">
      <c r="A599" s="157"/>
      <c r="B599" s="157"/>
      <c r="C599" s="157"/>
      <c r="D599" s="157"/>
      <c r="E599" s="157"/>
      <c r="F599" s="157"/>
    </row>
    <row r="600" spans="1:6" ht="15.75" x14ac:dyDescent="0.25">
      <c r="A600" s="157"/>
      <c r="B600" s="157"/>
      <c r="C600" s="157"/>
      <c r="D600" s="157"/>
      <c r="E600" s="157"/>
      <c r="F600" s="157"/>
    </row>
    <row r="601" spans="1:6" ht="15.75" x14ac:dyDescent="0.25">
      <c r="A601" s="157"/>
      <c r="B601" s="157"/>
      <c r="C601" s="157"/>
      <c r="D601" s="157"/>
      <c r="E601" s="157"/>
      <c r="F601" s="157"/>
    </row>
    <row r="602" spans="1:6" ht="15.75" x14ac:dyDescent="0.25">
      <c r="A602" s="157"/>
      <c r="B602" s="157"/>
      <c r="C602" s="157"/>
      <c r="D602" s="157"/>
      <c r="E602" s="157"/>
      <c r="F602" s="157"/>
    </row>
    <row r="603" spans="1:6" ht="15.75" x14ac:dyDescent="0.25">
      <c r="A603" s="157"/>
      <c r="B603" s="157"/>
      <c r="C603" s="157"/>
      <c r="D603" s="157"/>
      <c r="E603" s="157"/>
      <c r="F603" s="157"/>
    </row>
    <row r="604" spans="1:6" ht="15.75" x14ac:dyDescent="0.25">
      <c r="A604" s="157"/>
      <c r="B604" s="157"/>
      <c r="C604" s="157"/>
      <c r="D604" s="157"/>
      <c r="E604" s="157"/>
      <c r="F604" s="157"/>
    </row>
    <row r="605" spans="1:6" ht="15.75" x14ac:dyDescent="0.25">
      <c r="A605" s="157"/>
      <c r="B605" s="157"/>
      <c r="C605" s="157"/>
      <c r="D605" s="157"/>
      <c r="E605" s="157"/>
      <c r="F605" s="157"/>
    </row>
    <row r="606" spans="1:6" ht="15.75" x14ac:dyDescent="0.25">
      <c r="A606" s="157"/>
      <c r="B606" s="157"/>
      <c r="C606" s="157"/>
      <c r="D606" s="157"/>
      <c r="E606" s="157"/>
      <c r="F606" s="157"/>
    </row>
    <row r="607" spans="1:6" ht="15.75" x14ac:dyDescent="0.25">
      <c r="A607" s="157"/>
      <c r="B607" s="157"/>
      <c r="C607" s="157"/>
      <c r="D607" s="157"/>
      <c r="E607" s="157"/>
      <c r="F607" s="157"/>
    </row>
    <row r="608" spans="1:6" ht="15.75" x14ac:dyDescent="0.25">
      <c r="A608" s="157"/>
      <c r="B608" s="157"/>
      <c r="C608" s="157"/>
      <c r="D608" s="157"/>
      <c r="E608" s="157"/>
      <c r="F608" s="157"/>
    </row>
    <row r="609" spans="1:6" ht="15.75" x14ac:dyDescent="0.25">
      <c r="A609" s="157"/>
      <c r="B609" s="157"/>
      <c r="C609" s="157"/>
      <c r="D609" s="157"/>
      <c r="E609" s="157"/>
      <c r="F609" s="157"/>
    </row>
    <row r="610" spans="1:6" ht="15.75" x14ac:dyDescent="0.25">
      <c r="A610" s="157"/>
      <c r="B610" s="157"/>
      <c r="C610" s="157"/>
      <c r="D610" s="157"/>
      <c r="E610" s="157"/>
      <c r="F610" s="157"/>
    </row>
    <row r="611" spans="1:6" ht="15.75" x14ac:dyDescent="0.25">
      <c r="A611" s="157"/>
      <c r="B611" s="157"/>
      <c r="C611" s="157"/>
      <c r="D611" s="157"/>
      <c r="E611" s="157"/>
      <c r="F611" s="157"/>
    </row>
    <row r="612" spans="1:6" ht="15.75" x14ac:dyDescent="0.25">
      <c r="A612" s="157"/>
      <c r="B612" s="157"/>
      <c r="C612" s="157"/>
      <c r="D612" s="157"/>
      <c r="E612" s="157"/>
      <c r="F612" s="157"/>
    </row>
    <row r="613" spans="1:6" ht="15.75" x14ac:dyDescent="0.25">
      <c r="A613" s="157"/>
      <c r="B613" s="157"/>
      <c r="C613" s="157"/>
      <c r="D613" s="157"/>
      <c r="E613" s="157"/>
      <c r="F613" s="157"/>
    </row>
    <row r="614" spans="1:6" ht="15.75" x14ac:dyDescent="0.25">
      <c r="A614" s="157"/>
      <c r="B614" s="157"/>
      <c r="C614" s="157"/>
      <c r="D614" s="157"/>
      <c r="E614" s="157"/>
      <c r="F614" s="157"/>
    </row>
    <row r="615" spans="1:6" ht="15.75" x14ac:dyDescent="0.25">
      <c r="A615" s="157"/>
      <c r="B615" s="157"/>
      <c r="C615" s="157"/>
      <c r="D615" s="157"/>
      <c r="E615" s="157"/>
      <c r="F615" s="157"/>
    </row>
    <row r="616" spans="1:6" ht="15.75" x14ac:dyDescent="0.25">
      <c r="A616" s="157"/>
      <c r="B616" s="157"/>
      <c r="C616" s="157"/>
      <c r="D616" s="157"/>
      <c r="E616" s="157"/>
      <c r="F616" s="157"/>
    </row>
    <row r="617" spans="1:6" ht="15.75" x14ac:dyDescent="0.25">
      <c r="A617" s="157"/>
      <c r="B617" s="157"/>
      <c r="C617" s="157"/>
      <c r="D617" s="157"/>
      <c r="E617" s="157"/>
      <c r="F617" s="157"/>
    </row>
    <row r="618" spans="1:6" ht="15.75" x14ac:dyDescent="0.25">
      <c r="A618" s="157"/>
      <c r="B618" s="157"/>
      <c r="C618" s="157"/>
      <c r="D618" s="157"/>
      <c r="E618" s="157"/>
      <c r="F618" s="157"/>
    </row>
    <row r="619" spans="1:6" ht="15.75" x14ac:dyDescent="0.25">
      <c r="A619" s="157"/>
      <c r="B619" s="157"/>
      <c r="C619" s="157"/>
      <c r="D619" s="157"/>
      <c r="E619" s="157"/>
      <c r="F619" s="157"/>
    </row>
    <row r="620" spans="1:6" ht="15.75" x14ac:dyDescent="0.25">
      <c r="A620" s="157"/>
      <c r="B620" s="157"/>
      <c r="C620" s="157"/>
      <c r="D620" s="157"/>
      <c r="E620" s="157"/>
      <c r="F620" s="157"/>
    </row>
    <row r="621" spans="1:6" ht="15.75" x14ac:dyDescent="0.25">
      <c r="A621" s="157"/>
      <c r="B621" s="157"/>
      <c r="C621" s="157"/>
      <c r="D621" s="157"/>
      <c r="E621" s="157"/>
      <c r="F621" s="157"/>
    </row>
    <row r="622" spans="1:6" ht="15.75" x14ac:dyDescent="0.25">
      <c r="A622" s="157"/>
      <c r="B622" s="157"/>
      <c r="C622" s="157"/>
      <c r="D622" s="157"/>
      <c r="E622" s="157"/>
      <c r="F622" s="157"/>
    </row>
    <row r="623" spans="1:6" ht="15.75" x14ac:dyDescent="0.25">
      <c r="A623" s="157"/>
      <c r="B623" s="157"/>
      <c r="C623" s="157"/>
      <c r="D623" s="157"/>
      <c r="E623" s="157"/>
      <c r="F623" s="157"/>
    </row>
    <row r="624" spans="1:6" ht="15.75" x14ac:dyDescent="0.25">
      <c r="A624" s="157"/>
      <c r="B624" s="157"/>
      <c r="C624" s="157"/>
      <c r="D624" s="157"/>
      <c r="E624" s="157"/>
      <c r="F624" s="157"/>
    </row>
    <row r="625" spans="1:6" ht="15.75" x14ac:dyDescent="0.25">
      <c r="A625" s="157"/>
      <c r="B625" s="157"/>
      <c r="C625" s="157"/>
      <c r="D625" s="157"/>
      <c r="E625" s="157"/>
      <c r="F625" s="157"/>
    </row>
    <row r="626" spans="1:6" ht="15.75" x14ac:dyDescent="0.25">
      <c r="A626" s="157"/>
      <c r="B626" s="157"/>
      <c r="C626" s="157"/>
      <c r="D626" s="157"/>
      <c r="E626" s="157"/>
      <c r="F626" s="157"/>
    </row>
    <row r="627" spans="1:6" ht="15.75" x14ac:dyDescent="0.25">
      <c r="A627" s="157"/>
      <c r="B627" s="157"/>
      <c r="C627" s="157"/>
      <c r="D627" s="157"/>
      <c r="E627" s="157"/>
      <c r="F627" s="157"/>
    </row>
    <row r="628" spans="1:6" ht="15.75" x14ac:dyDescent="0.25">
      <c r="A628" s="157"/>
      <c r="B628" s="157"/>
      <c r="C628" s="157"/>
      <c r="D628" s="157"/>
      <c r="E628" s="157"/>
      <c r="F628" s="157"/>
    </row>
    <row r="629" spans="1:6" ht="15.75" x14ac:dyDescent="0.25">
      <c r="A629" s="157"/>
      <c r="B629" s="157"/>
      <c r="C629" s="157"/>
      <c r="D629" s="157"/>
      <c r="E629" s="157"/>
      <c r="F629" s="157"/>
    </row>
    <row r="630" spans="1:6" ht="15.75" x14ac:dyDescent="0.25">
      <c r="A630" s="157"/>
      <c r="B630" s="157"/>
      <c r="C630" s="157"/>
      <c r="D630" s="157"/>
      <c r="E630" s="157"/>
      <c r="F630" s="157"/>
    </row>
    <row r="631" spans="1:6" ht="15.75" x14ac:dyDescent="0.25">
      <c r="A631" s="157"/>
      <c r="B631" s="157"/>
      <c r="C631" s="157"/>
      <c r="D631" s="157"/>
      <c r="E631" s="157"/>
      <c r="F631" s="157"/>
    </row>
    <row r="632" spans="1:6" ht="15.75" x14ac:dyDescent="0.25">
      <c r="A632" s="157"/>
      <c r="B632" s="157"/>
      <c r="C632" s="157"/>
      <c r="D632" s="157"/>
      <c r="E632" s="157"/>
      <c r="F632" s="157"/>
    </row>
    <row r="633" spans="1:6" ht="15.75" x14ac:dyDescent="0.25">
      <c r="A633" s="157"/>
      <c r="B633" s="157"/>
      <c r="C633" s="157"/>
      <c r="D633" s="157"/>
      <c r="E633" s="157"/>
      <c r="F633" s="157"/>
    </row>
    <row r="634" spans="1:6" ht="15.75" x14ac:dyDescent="0.25">
      <c r="A634" s="157"/>
      <c r="B634" s="157"/>
      <c r="C634" s="157"/>
      <c r="D634" s="157"/>
      <c r="E634" s="157"/>
      <c r="F634" s="157"/>
    </row>
    <row r="635" spans="1:6" ht="15.75" x14ac:dyDescent="0.25">
      <c r="A635" s="157"/>
      <c r="B635" s="157"/>
      <c r="C635" s="157"/>
      <c r="D635" s="157"/>
      <c r="E635" s="157"/>
      <c r="F635" s="157"/>
    </row>
    <row r="636" spans="1:6" ht="15.75" x14ac:dyDescent="0.25">
      <c r="A636" s="157"/>
      <c r="B636" s="157"/>
      <c r="C636" s="157"/>
      <c r="D636" s="157"/>
      <c r="E636" s="157"/>
      <c r="F636" s="157"/>
    </row>
    <row r="637" spans="1:6" ht="15.75" x14ac:dyDescent="0.25">
      <c r="A637" s="157"/>
      <c r="B637" s="157"/>
      <c r="C637" s="157"/>
      <c r="D637" s="157"/>
      <c r="E637" s="157"/>
      <c r="F637" s="157"/>
    </row>
    <row r="638" spans="1:6" ht="15.75" x14ac:dyDescent="0.25">
      <c r="A638" s="157"/>
      <c r="B638" s="157"/>
      <c r="C638" s="157"/>
      <c r="D638" s="157"/>
      <c r="E638" s="157"/>
      <c r="F638" s="157"/>
    </row>
    <row r="639" spans="1:6" ht="15.75" x14ac:dyDescent="0.25">
      <c r="A639" s="157"/>
      <c r="B639" s="157"/>
      <c r="C639" s="157"/>
      <c r="D639" s="157"/>
      <c r="E639" s="157"/>
      <c r="F639" s="157"/>
    </row>
    <row r="640" spans="1:6" ht="15.75" x14ac:dyDescent="0.25">
      <c r="A640" s="157"/>
      <c r="B640" s="157"/>
      <c r="C640" s="157"/>
      <c r="D640" s="157"/>
      <c r="E640" s="157"/>
      <c r="F640" s="157"/>
    </row>
    <row r="641" spans="1:6" ht="15.75" x14ac:dyDescent="0.25">
      <c r="A641" s="157"/>
      <c r="B641" s="157"/>
      <c r="C641" s="157"/>
      <c r="D641" s="157"/>
      <c r="E641" s="157"/>
      <c r="F641" s="157"/>
    </row>
    <row r="642" spans="1:6" ht="15.75" x14ac:dyDescent="0.25">
      <c r="A642" s="157"/>
      <c r="B642" s="157"/>
      <c r="C642" s="157"/>
      <c r="D642" s="157"/>
      <c r="E642" s="157"/>
      <c r="F642" s="157"/>
    </row>
    <row r="643" spans="1:6" ht="15.75" x14ac:dyDescent="0.25">
      <c r="A643" s="157"/>
      <c r="B643" s="157"/>
      <c r="C643" s="157"/>
      <c r="D643" s="157"/>
      <c r="E643" s="157"/>
      <c r="F643" s="157"/>
    </row>
    <row r="644" spans="1:6" ht="15.75" x14ac:dyDescent="0.25">
      <c r="A644" s="157"/>
      <c r="B644" s="157"/>
      <c r="C644" s="157"/>
      <c r="D644" s="157"/>
      <c r="E644" s="157"/>
      <c r="F644" s="157"/>
    </row>
    <row r="645" spans="1:6" ht="15.75" x14ac:dyDescent="0.25">
      <c r="A645" s="157"/>
      <c r="B645" s="157"/>
      <c r="C645" s="157"/>
      <c r="D645" s="157"/>
      <c r="E645" s="157"/>
      <c r="F645" s="157"/>
    </row>
    <row r="646" spans="1:6" ht="15.75" x14ac:dyDescent="0.25">
      <c r="A646" s="157"/>
      <c r="B646" s="157"/>
      <c r="C646" s="157"/>
      <c r="D646" s="157"/>
      <c r="E646" s="157"/>
      <c r="F646" s="157"/>
    </row>
    <row r="647" spans="1:6" ht="15.75" x14ac:dyDescent="0.25">
      <c r="A647" s="157"/>
      <c r="B647" s="157"/>
      <c r="C647" s="157"/>
      <c r="D647" s="157"/>
      <c r="E647" s="157"/>
      <c r="F647" s="157"/>
    </row>
    <row r="648" spans="1:6" ht="15.75" x14ac:dyDescent="0.25">
      <c r="A648" s="157"/>
      <c r="B648" s="157"/>
      <c r="C648" s="157"/>
      <c r="D648" s="157"/>
      <c r="E648" s="157"/>
      <c r="F648" s="157"/>
    </row>
    <row r="649" spans="1:6" ht="15.75" x14ac:dyDescent="0.25">
      <c r="A649" s="157"/>
      <c r="B649" s="157"/>
      <c r="C649" s="157"/>
      <c r="D649" s="157"/>
      <c r="E649" s="157"/>
      <c r="F649" s="157"/>
    </row>
    <row r="650" spans="1:6" ht="15.75" x14ac:dyDescent="0.25">
      <c r="A650" s="157"/>
      <c r="B650" s="157"/>
      <c r="C650" s="157"/>
      <c r="D650" s="157"/>
      <c r="E650" s="157"/>
      <c r="F650" s="157"/>
    </row>
    <row r="651" spans="1:6" ht="15.75" x14ac:dyDescent="0.25">
      <c r="A651" s="157"/>
      <c r="B651" s="157"/>
      <c r="C651" s="157"/>
      <c r="D651" s="157"/>
      <c r="E651" s="157"/>
      <c r="F651" s="157"/>
    </row>
    <row r="652" spans="1:6" ht="15.75" x14ac:dyDescent="0.25">
      <c r="A652" s="157"/>
      <c r="B652" s="157"/>
      <c r="C652" s="157"/>
      <c r="D652" s="157"/>
      <c r="E652" s="157"/>
      <c r="F652" s="157"/>
    </row>
    <row r="653" spans="1:6" ht="15.75" x14ac:dyDescent="0.25">
      <c r="A653" s="157"/>
      <c r="B653" s="157"/>
      <c r="C653" s="157"/>
      <c r="D653" s="157"/>
      <c r="E653" s="157"/>
      <c r="F653" s="157"/>
    </row>
    <row r="654" spans="1:6" ht="15.75" x14ac:dyDescent="0.25">
      <c r="A654" s="157"/>
      <c r="B654" s="157"/>
      <c r="C654" s="157"/>
      <c r="D654" s="157"/>
      <c r="E654" s="157"/>
      <c r="F654" s="157"/>
    </row>
    <row r="655" spans="1:6" ht="15.75" x14ac:dyDescent="0.25">
      <c r="A655" s="157"/>
      <c r="B655" s="157"/>
      <c r="C655" s="157"/>
      <c r="D655" s="157"/>
      <c r="E655" s="157"/>
      <c r="F655" s="157"/>
    </row>
    <row r="656" spans="1:6" ht="15.75" x14ac:dyDescent="0.25">
      <c r="A656" s="157"/>
      <c r="B656" s="157"/>
      <c r="C656" s="157"/>
      <c r="D656" s="157"/>
      <c r="E656" s="157"/>
      <c r="F656" s="157"/>
    </row>
    <row r="657" spans="1:6" ht="15.75" x14ac:dyDescent="0.25">
      <c r="A657" s="157"/>
      <c r="B657" s="157"/>
      <c r="C657" s="157"/>
      <c r="D657" s="157"/>
      <c r="E657" s="157"/>
      <c r="F657" s="157"/>
    </row>
    <row r="658" spans="1:6" ht="15.75" x14ac:dyDescent="0.25">
      <c r="A658" s="157"/>
      <c r="B658" s="157"/>
      <c r="C658" s="157"/>
      <c r="D658" s="157"/>
      <c r="E658" s="157"/>
      <c r="F658" s="157"/>
    </row>
    <row r="659" spans="1:6" ht="15.75" x14ac:dyDescent="0.25">
      <c r="A659" s="157"/>
      <c r="B659" s="157"/>
      <c r="C659" s="157"/>
      <c r="D659" s="157"/>
      <c r="E659" s="157"/>
      <c r="F659" s="157"/>
    </row>
    <row r="660" spans="1:6" ht="15.75" x14ac:dyDescent="0.25">
      <c r="A660" s="157"/>
      <c r="B660" s="157"/>
      <c r="C660" s="157"/>
      <c r="D660" s="157"/>
      <c r="E660" s="157"/>
      <c r="F660" s="157"/>
    </row>
    <row r="661" spans="1:6" ht="15.75" x14ac:dyDescent="0.25">
      <c r="A661" s="157"/>
      <c r="B661" s="157"/>
      <c r="C661" s="157"/>
      <c r="D661" s="157"/>
      <c r="E661" s="157"/>
      <c r="F661" s="157"/>
    </row>
    <row r="662" spans="1:6" ht="15.75" x14ac:dyDescent="0.25">
      <c r="A662" s="157"/>
      <c r="B662" s="157"/>
      <c r="C662" s="157"/>
      <c r="D662" s="157"/>
      <c r="E662" s="157"/>
      <c r="F662" s="157"/>
    </row>
    <row r="663" spans="1:6" ht="15.75" x14ac:dyDescent="0.25">
      <c r="A663" s="157"/>
      <c r="B663" s="157"/>
      <c r="C663" s="157"/>
      <c r="D663" s="157"/>
      <c r="E663" s="157"/>
      <c r="F663" s="157"/>
    </row>
    <row r="664" spans="1:6" ht="15.75" x14ac:dyDescent="0.25">
      <c r="A664" s="157"/>
      <c r="B664" s="157"/>
      <c r="C664" s="157"/>
      <c r="D664" s="157"/>
      <c r="E664" s="157"/>
      <c r="F664" s="157"/>
    </row>
    <row r="665" spans="1:6" ht="15.75" x14ac:dyDescent="0.25">
      <c r="A665" s="157"/>
      <c r="B665" s="157"/>
      <c r="C665" s="157"/>
      <c r="D665" s="157"/>
      <c r="E665" s="157"/>
      <c r="F665" s="157"/>
    </row>
    <row r="666" spans="1:6" ht="15.75" x14ac:dyDescent="0.25">
      <c r="A666" s="157"/>
      <c r="B666" s="157"/>
      <c r="C666" s="157"/>
      <c r="D666" s="157"/>
      <c r="E666" s="157"/>
      <c r="F666" s="157"/>
    </row>
    <row r="667" spans="1:6" ht="15.75" x14ac:dyDescent="0.25">
      <c r="A667" s="157"/>
      <c r="B667" s="157"/>
      <c r="C667" s="157"/>
      <c r="D667" s="157"/>
      <c r="E667" s="157"/>
      <c r="F667" s="157"/>
    </row>
    <row r="668" spans="1:6" ht="15.75" x14ac:dyDescent="0.25">
      <c r="A668" s="157"/>
      <c r="B668" s="157"/>
      <c r="C668" s="157"/>
      <c r="D668" s="157"/>
      <c r="E668" s="157"/>
      <c r="F668" s="157"/>
    </row>
    <row r="669" spans="1:6" ht="15.75" x14ac:dyDescent="0.25">
      <c r="A669" s="157"/>
      <c r="B669" s="157"/>
      <c r="C669" s="157"/>
      <c r="D669" s="157"/>
      <c r="E669" s="157"/>
      <c r="F669" s="157"/>
    </row>
    <row r="670" spans="1:6" ht="15.75" x14ac:dyDescent="0.25">
      <c r="A670" s="157"/>
      <c r="B670" s="157"/>
      <c r="C670" s="157"/>
      <c r="D670" s="157"/>
      <c r="E670" s="157"/>
      <c r="F670" s="157"/>
    </row>
    <row r="671" spans="1:6" ht="15.75" x14ac:dyDescent="0.25">
      <c r="A671" s="157"/>
      <c r="B671" s="157"/>
      <c r="C671" s="157"/>
      <c r="D671" s="157"/>
      <c r="E671" s="157"/>
      <c r="F671" s="157"/>
    </row>
    <row r="672" spans="1:6" ht="15.75" x14ac:dyDescent="0.25">
      <c r="A672" s="157"/>
      <c r="B672" s="157"/>
      <c r="C672" s="157"/>
      <c r="D672" s="157"/>
      <c r="E672" s="157"/>
      <c r="F672" s="157"/>
    </row>
    <row r="673" spans="1:6" ht="15.75" x14ac:dyDescent="0.25">
      <c r="A673" s="157"/>
      <c r="B673" s="157"/>
      <c r="C673" s="157"/>
      <c r="D673" s="157"/>
      <c r="E673" s="157"/>
      <c r="F673" s="157"/>
    </row>
    <row r="674" spans="1:6" ht="15.75" x14ac:dyDescent="0.25">
      <c r="A674" s="157"/>
      <c r="B674" s="157"/>
      <c r="C674" s="157"/>
      <c r="D674" s="157"/>
      <c r="E674" s="157"/>
      <c r="F674" s="157"/>
    </row>
    <row r="675" spans="1:6" ht="15.75" x14ac:dyDescent="0.25">
      <c r="A675" s="157"/>
      <c r="B675" s="157"/>
      <c r="C675" s="157"/>
      <c r="D675" s="157"/>
      <c r="E675" s="157"/>
      <c r="F675" s="157"/>
    </row>
    <row r="676" spans="1:6" ht="15.75" x14ac:dyDescent="0.25">
      <c r="A676" s="157"/>
      <c r="B676" s="157"/>
      <c r="C676" s="157"/>
      <c r="D676" s="157"/>
      <c r="E676" s="157"/>
      <c r="F676" s="157"/>
    </row>
    <row r="677" spans="1:6" ht="15.75" x14ac:dyDescent="0.25">
      <c r="A677" s="157"/>
      <c r="B677" s="157"/>
      <c r="C677" s="157"/>
      <c r="D677" s="157"/>
      <c r="E677" s="157"/>
      <c r="F677" s="157"/>
    </row>
    <row r="678" spans="1:6" ht="15.75" x14ac:dyDescent="0.25">
      <c r="A678" s="157"/>
      <c r="B678" s="157"/>
      <c r="C678" s="157"/>
      <c r="D678" s="157"/>
      <c r="E678" s="157"/>
      <c r="F678" s="157"/>
    </row>
    <row r="679" spans="1:6" ht="15.75" x14ac:dyDescent="0.25">
      <c r="A679" s="157"/>
      <c r="B679" s="157"/>
      <c r="C679" s="157"/>
      <c r="D679" s="157"/>
      <c r="E679" s="157"/>
      <c r="F679" s="157"/>
    </row>
    <row r="680" spans="1:6" ht="15.75" x14ac:dyDescent="0.25">
      <c r="A680" s="157"/>
      <c r="B680" s="157"/>
      <c r="C680" s="157"/>
      <c r="D680" s="157"/>
      <c r="E680" s="157"/>
      <c r="F680" s="157"/>
    </row>
    <row r="681" spans="1:6" ht="15.75" x14ac:dyDescent="0.25">
      <c r="A681" s="157"/>
      <c r="B681" s="157"/>
      <c r="C681" s="157"/>
      <c r="D681" s="157"/>
      <c r="E681" s="157"/>
      <c r="F681" s="157"/>
    </row>
    <row r="682" spans="1:6" ht="15.75" x14ac:dyDescent="0.25">
      <c r="A682" s="157"/>
      <c r="B682" s="157"/>
      <c r="C682" s="157"/>
      <c r="D682" s="157"/>
      <c r="E682" s="157"/>
      <c r="F682" s="157"/>
    </row>
    <row r="683" spans="1:6" ht="15.75" x14ac:dyDescent="0.25">
      <c r="A683" s="157"/>
      <c r="B683" s="157"/>
      <c r="C683" s="157"/>
      <c r="D683" s="157"/>
      <c r="E683" s="157"/>
      <c r="F683" s="157"/>
    </row>
    <row r="684" spans="1:6" ht="15.75" x14ac:dyDescent="0.25">
      <c r="A684" s="157"/>
      <c r="B684" s="157"/>
      <c r="C684" s="157"/>
      <c r="D684" s="157"/>
      <c r="E684" s="157"/>
      <c r="F684" s="157"/>
    </row>
    <row r="685" spans="1:6" ht="15.75" x14ac:dyDescent="0.25">
      <c r="A685" s="157"/>
      <c r="B685" s="157"/>
      <c r="C685" s="157"/>
      <c r="D685" s="157"/>
      <c r="E685" s="157"/>
      <c r="F685" s="157"/>
    </row>
    <row r="686" spans="1:6" ht="15.75" x14ac:dyDescent="0.25">
      <c r="A686" s="157"/>
      <c r="B686" s="157"/>
      <c r="C686" s="157"/>
      <c r="D686" s="157"/>
      <c r="E686" s="157"/>
      <c r="F686" s="157"/>
    </row>
    <row r="687" spans="1:6" ht="15.75" x14ac:dyDescent="0.25">
      <c r="A687" s="157"/>
      <c r="B687" s="157"/>
      <c r="C687" s="157"/>
      <c r="D687" s="157"/>
      <c r="E687" s="157"/>
      <c r="F687" s="157"/>
    </row>
    <row r="688" spans="1:6" ht="15.75" x14ac:dyDescent="0.25">
      <c r="A688" s="157"/>
      <c r="B688" s="157"/>
      <c r="C688" s="157"/>
      <c r="D688" s="157"/>
      <c r="E688" s="157"/>
      <c r="F688" s="157"/>
    </row>
    <row r="689" spans="1:6" ht="15.75" x14ac:dyDescent="0.25">
      <c r="A689" s="157"/>
      <c r="B689" s="157"/>
      <c r="C689" s="157"/>
      <c r="D689" s="157"/>
      <c r="E689" s="157"/>
      <c r="F689" s="157"/>
    </row>
    <row r="690" spans="1:6" ht="15.75" x14ac:dyDescent="0.25">
      <c r="A690" s="157"/>
      <c r="B690" s="157"/>
      <c r="C690" s="157"/>
      <c r="D690" s="157"/>
      <c r="E690" s="157"/>
      <c r="F690" s="157"/>
    </row>
    <row r="691" spans="1:6" ht="15.75" x14ac:dyDescent="0.25">
      <c r="A691" s="157"/>
      <c r="B691" s="157"/>
      <c r="C691" s="157"/>
      <c r="D691" s="157"/>
      <c r="E691" s="157"/>
      <c r="F691" s="157"/>
    </row>
    <row r="692" spans="1:6" ht="15.75" x14ac:dyDescent="0.25">
      <c r="A692" s="157"/>
      <c r="B692" s="157"/>
      <c r="C692" s="157"/>
      <c r="D692" s="157"/>
      <c r="E692" s="157"/>
      <c r="F692" s="157"/>
    </row>
    <row r="693" spans="1:6" ht="15.75" x14ac:dyDescent="0.25">
      <c r="A693" s="157"/>
      <c r="B693" s="157"/>
      <c r="C693" s="157"/>
      <c r="D693" s="157"/>
      <c r="E693" s="157"/>
      <c r="F693" s="157"/>
    </row>
    <row r="694" spans="1:6" ht="15.75" x14ac:dyDescent="0.25">
      <c r="A694" s="157"/>
      <c r="B694" s="157"/>
      <c r="C694" s="157"/>
      <c r="D694" s="157"/>
      <c r="E694" s="157"/>
      <c r="F694" s="157"/>
    </row>
    <row r="695" spans="1:6" ht="15.75" x14ac:dyDescent="0.25">
      <c r="A695" s="157"/>
      <c r="B695" s="157"/>
      <c r="C695" s="157"/>
      <c r="D695" s="157"/>
      <c r="E695" s="157"/>
      <c r="F695" s="157"/>
    </row>
    <row r="696" spans="1:6" ht="15.75" x14ac:dyDescent="0.25">
      <c r="A696" s="157"/>
      <c r="B696" s="157"/>
      <c r="C696" s="157"/>
      <c r="D696" s="157"/>
      <c r="E696" s="157"/>
      <c r="F696" s="157"/>
    </row>
    <row r="697" spans="1:6" ht="15.75" x14ac:dyDescent="0.25">
      <c r="A697" s="157"/>
      <c r="B697" s="157"/>
      <c r="C697" s="157"/>
      <c r="D697" s="157"/>
      <c r="E697" s="157"/>
      <c r="F697" s="157"/>
    </row>
    <row r="698" spans="1:6" ht="15.75" x14ac:dyDescent="0.25">
      <c r="A698" s="157"/>
      <c r="B698" s="157"/>
      <c r="C698" s="157"/>
      <c r="D698" s="157"/>
      <c r="E698" s="157"/>
      <c r="F698" s="157"/>
    </row>
    <row r="699" spans="1:6" ht="15.75" x14ac:dyDescent="0.25">
      <c r="A699" s="157"/>
      <c r="B699" s="157"/>
      <c r="C699" s="157"/>
      <c r="D699" s="157"/>
      <c r="E699" s="157"/>
      <c r="F699" s="157"/>
    </row>
    <row r="700" spans="1:6" ht="15.75" x14ac:dyDescent="0.25">
      <c r="A700" s="157"/>
      <c r="B700" s="157"/>
      <c r="C700" s="157"/>
      <c r="D700" s="157"/>
      <c r="E700" s="157"/>
      <c r="F700" s="157"/>
    </row>
    <row r="701" spans="1:6" ht="15.75" x14ac:dyDescent="0.25">
      <c r="A701" s="157"/>
      <c r="B701" s="157"/>
      <c r="C701" s="157"/>
      <c r="D701" s="157"/>
      <c r="E701" s="157"/>
      <c r="F701" s="157"/>
    </row>
    <row r="702" spans="1:6" ht="15.75" x14ac:dyDescent="0.25">
      <c r="A702" s="157"/>
      <c r="B702" s="157"/>
      <c r="C702" s="157"/>
      <c r="D702" s="157"/>
      <c r="E702" s="157"/>
      <c r="F702" s="157"/>
    </row>
    <row r="703" spans="1:6" ht="15.75" x14ac:dyDescent="0.25">
      <c r="A703" s="157"/>
      <c r="B703" s="157"/>
      <c r="C703" s="157"/>
      <c r="D703" s="157"/>
      <c r="E703" s="157"/>
      <c r="F703" s="157"/>
    </row>
    <row r="704" spans="1:6" ht="15.75" x14ac:dyDescent="0.25">
      <c r="A704" s="157"/>
      <c r="B704" s="157"/>
      <c r="C704" s="157"/>
      <c r="D704" s="157"/>
      <c r="E704" s="157"/>
      <c r="F704" s="157"/>
    </row>
    <row r="705" spans="1:6" ht="15.75" x14ac:dyDescent="0.25">
      <c r="A705" s="157"/>
      <c r="B705" s="157"/>
      <c r="C705" s="157"/>
      <c r="D705" s="157"/>
      <c r="E705" s="157"/>
      <c r="F705" s="157"/>
    </row>
    <row r="706" spans="1:6" ht="15.75" x14ac:dyDescent="0.25">
      <c r="A706" s="157"/>
      <c r="B706" s="157"/>
      <c r="C706" s="157"/>
      <c r="D706" s="157"/>
      <c r="E706" s="157"/>
      <c r="F706" s="157"/>
    </row>
    <row r="707" spans="1:6" ht="15.75" x14ac:dyDescent="0.25">
      <c r="A707" s="157"/>
      <c r="B707" s="157"/>
      <c r="C707" s="157"/>
      <c r="D707" s="157"/>
      <c r="E707" s="157"/>
      <c r="F707" s="157"/>
    </row>
    <row r="708" spans="1:6" ht="15.75" x14ac:dyDescent="0.25">
      <c r="A708" s="157"/>
      <c r="B708" s="157"/>
      <c r="C708" s="157"/>
      <c r="D708" s="157"/>
      <c r="E708" s="157"/>
      <c r="F708" s="157"/>
    </row>
    <row r="709" spans="1:6" ht="15.75" x14ac:dyDescent="0.25">
      <c r="A709" s="157"/>
      <c r="B709" s="157"/>
      <c r="C709" s="157"/>
      <c r="D709" s="157"/>
      <c r="E709" s="157"/>
      <c r="F709" s="157"/>
    </row>
    <row r="710" spans="1:6" ht="15.75" x14ac:dyDescent="0.25">
      <c r="A710" s="157"/>
      <c r="B710" s="157"/>
      <c r="C710" s="157"/>
      <c r="D710" s="157"/>
      <c r="E710" s="157"/>
      <c r="F710" s="157"/>
    </row>
    <row r="711" spans="1:6" ht="15.75" x14ac:dyDescent="0.25">
      <c r="A711" s="157"/>
      <c r="B711" s="157"/>
      <c r="C711" s="157"/>
      <c r="D711" s="157"/>
      <c r="E711" s="157"/>
      <c r="F711" s="157"/>
    </row>
    <row r="712" spans="1:6" ht="15.75" x14ac:dyDescent="0.25">
      <c r="A712" s="157"/>
      <c r="B712" s="157"/>
      <c r="C712" s="157"/>
      <c r="D712" s="157"/>
      <c r="E712" s="157"/>
      <c r="F712" s="157"/>
    </row>
    <row r="713" spans="1:6" ht="15.75" x14ac:dyDescent="0.25">
      <c r="A713" s="157"/>
      <c r="B713" s="157"/>
      <c r="C713" s="157"/>
      <c r="D713" s="157"/>
      <c r="E713" s="157"/>
      <c r="F713" s="157"/>
    </row>
    <row r="714" spans="1:6" ht="15.75" x14ac:dyDescent="0.25">
      <c r="A714" s="157"/>
      <c r="B714" s="157"/>
      <c r="C714" s="157"/>
      <c r="D714" s="157"/>
      <c r="E714" s="157"/>
      <c r="F714" s="157"/>
    </row>
    <row r="715" spans="1:6" ht="15.75" x14ac:dyDescent="0.25">
      <c r="A715" s="157"/>
      <c r="B715" s="157"/>
      <c r="C715" s="157"/>
      <c r="D715" s="157"/>
      <c r="E715" s="157"/>
      <c r="F715" s="157"/>
    </row>
    <row r="716" spans="1:6" ht="15.75" x14ac:dyDescent="0.25">
      <c r="A716" s="157"/>
      <c r="B716" s="157"/>
      <c r="C716" s="157"/>
      <c r="D716" s="157"/>
      <c r="E716" s="157"/>
      <c r="F716" s="157"/>
    </row>
    <row r="717" spans="1:6" ht="15.75" x14ac:dyDescent="0.25">
      <c r="A717" s="157"/>
      <c r="B717" s="157"/>
      <c r="C717" s="157"/>
      <c r="D717" s="157"/>
      <c r="E717" s="157"/>
      <c r="F717" s="157"/>
    </row>
    <row r="718" spans="1:6" ht="15.75" x14ac:dyDescent="0.25">
      <c r="A718" s="157"/>
      <c r="B718" s="157"/>
      <c r="C718" s="157"/>
      <c r="D718" s="157"/>
      <c r="E718" s="157"/>
      <c r="F718" s="157"/>
    </row>
    <row r="719" spans="1:6" ht="15.75" x14ac:dyDescent="0.25">
      <c r="A719" s="157"/>
      <c r="B719" s="157"/>
      <c r="C719" s="157"/>
      <c r="D719" s="157"/>
      <c r="E719" s="157"/>
      <c r="F719" s="157"/>
    </row>
    <row r="720" spans="1:6" ht="15.75" x14ac:dyDescent="0.25">
      <c r="A720" s="157"/>
      <c r="B720" s="157"/>
      <c r="C720" s="157"/>
      <c r="D720" s="157"/>
      <c r="E720" s="157"/>
      <c r="F720" s="157"/>
    </row>
    <row r="721" spans="1:6" ht="15.75" x14ac:dyDescent="0.25">
      <c r="A721" s="157"/>
      <c r="B721" s="157"/>
      <c r="C721" s="157"/>
      <c r="D721" s="157"/>
      <c r="E721" s="157"/>
      <c r="F721" s="157"/>
    </row>
    <row r="722" spans="1:6" ht="15.75" x14ac:dyDescent="0.25">
      <c r="A722" s="157"/>
      <c r="B722" s="157"/>
      <c r="C722" s="157"/>
      <c r="D722" s="157"/>
      <c r="E722" s="157"/>
      <c r="F722" s="157"/>
    </row>
    <row r="723" spans="1:6" ht="15.75" x14ac:dyDescent="0.25">
      <c r="A723" s="157"/>
      <c r="B723" s="157"/>
      <c r="C723" s="157"/>
      <c r="D723" s="157"/>
      <c r="E723" s="157"/>
      <c r="F723" s="157"/>
    </row>
    <row r="724" spans="1:6" ht="15.75" x14ac:dyDescent="0.25">
      <c r="A724" s="157"/>
      <c r="B724" s="157"/>
      <c r="C724" s="157"/>
      <c r="D724" s="157"/>
      <c r="E724" s="157"/>
      <c r="F724" s="157"/>
    </row>
    <row r="725" spans="1:6" ht="15.75" x14ac:dyDescent="0.25">
      <c r="A725" s="157"/>
      <c r="B725" s="157"/>
      <c r="C725" s="157"/>
      <c r="D725" s="157"/>
      <c r="E725" s="157"/>
      <c r="F725" s="157"/>
    </row>
    <row r="726" spans="1:6" ht="15.75" x14ac:dyDescent="0.25">
      <c r="A726" s="157"/>
      <c r="B726" s="157"/>
      <c r="C726" s="157"/>
      <c r="D726" s="157"/>
      <c r="E726" s="157"/>
      <c r="F726" s="157"/>
    </row>
    <row r="727" spans="1:6" ht="15.75" x14ac:dyDescent="0.25">
      <c r="A727" s="157"/>
      <c r="B727" s="157"/>
      <c r="C727" s="157"/>
      <c r="D727" s="157"/>
      <c r="E727" s="157"/>
      <c r="F727" s="157"/>
    </row>
    <row r="728" spans="1:6" ht="15.75" x14ac:dyDescent="0.25">
      <c r="A728" s="157"/>
      <c r="B728" s="157"/>
      <c r="C728" s="157"/>
      <c r="D728" s="157"/>
      <c r="E728" s="157"/>
      <c r="F728" s="157"/>
    </row>
    <row r="729" spans="1:6" ht="15.75" x14ac:dyDescent="0.25">
      <c r="A729" s="157"/>
      <c r="B729" s="157"/>
      <c r="C729" s="157"/>
      <c r="D729" s="157"/>
      <c r="E729" s="157"/>
      <c r="F729" s="157"/>
    </row>
    <row r="730" spans="1:6" ht="15.75" x14ac:dyDescent="0.25">
      <c r="A730" s="157"/>
      <c r="B730" s="157"/>
      <c r="C730" s="157"/>
      <c r="D730" s="157"/>
      <c r="E730" s="157"/>
      <c r="F730" s="157"/>
    </row>
    <row r="731" spans="1:6" ht="15.75" x14ac:dyDescent="0.25">
      <c r="A731" s="157"/>
      <c r="B731" s="157"/>
      <c r="C731" s="157"/>
      <c r="D731" s="157"/>
      <c r="E731" s="157"/>
      <c r="F731" s="157"/>
    </row>
    <row r="732" spans="1:6" ht="15.75" x14ac:dyDescent="0.25">
      <c r="A732" s="157"/>
      <c r="B732" s="157"/>
      <c r="C732" s="157"/>
      <c r="D732" s="157"/>
      <c r="E732" s="157"/>
      <c r="F732" s="157"/>
    </row>
    <row r="733" spans="1:6" ht="15.75" x14ac:dyDescent="0.25">
      <c r="A733" s="157"/>
      <c r="B733" s="157"/>
      <c r="C733" s="157"/>
      <c r="D733" s="157"/>
      <c r="E733" s="157"/>
      <c r="F733" s="157"/>
    </row>
    <row r="734" spans="1:6" ht="15.75" x14ac:dyDescent="0.25">
      <c r="A734" s="157"/>
      <c r="B734" s="157"/>
      <c r="C734" s="157"/>
      <c r="D734" s="157"/>
      <c r="E734" s="157"/>
      <c r="F734" s="157"/>
    </row>
    <row r="735" spans="1:6" ht="15.75" x14ac:dyDescent="0.25">
      <c r="A735" s="157"/>
      <c r="B735" s="157"/>
      <c r="C735" s="157"/>
      <c r="D735" s="157"/>
      <c r="E735" s="157"/>
      <c r="F735" s="157"/>
    </row>
    <row r="736" spans="1:6" ht="15.75" x14ac:dyDescent="0.25">
      <c r="A736" s="157"/>
      <c r="B736" s="157"/>
      <c r="C736" s="157"/>
      <c r="D736" s="157"/>
      <c r="E736" s="157"/>
      <c r="F736" s="157"/>
    </row>
    <row r="737" spans="1:6" ht="15.75" x14ac:dyDescent="0.25">
      <c r="A737" s="157"/>
      <c r="B737" s="157"/>
      <c r="C737" s="157"/>
      <c r="D737" s="157"/>
      <c r="E737" s="157"/>
      <c r="F737" s="157"/>
    </row>
    <row r="738" spans="1:6" ht="15.75" x14ac:dyDescent="0.25">
      <c r="A738" s="157"/>
      <c r="B738" s="157"/>
      <c r="C738" s="157"/>
      <c r="D738" s="157"/>
      <c r="E738" s="157"/>
      <c r="F738" s="157"/>
    </row>
    <row r="739" spans="1:6" ht="15.75" x14ac:dyDescent="0.25">
      <c r="A739" s="157"/>
      <c r="B739" s="157"/>
      <c r="C739" s="157"/>
      <c r="D739" s="157"/>
      <c r="E739" s="157"/>
      <c r="F739" s="157"/>
    </row>
    <row r="740" spans="1:6" ht="15.75" x14ac:dyDescent="0.25">
      <c r="A740" s="157"/>
      <c r="B740" s="157"/>
      <c r="C740" s="157"/>
      <c r="D740" s="157"/>
      <c r="E740" s="157"/>
      <c r="F740" s="157"/>
    </row>
    <row r="741" spans="1:6" ht="15.75" x14ac:dyDescent="0.25">
      <c r="A741" s="157"/>
      <c r="B741" s="157"/>
      <c r="C741" s="157"/>
      <c r="D741" s="157"/>
      <c r="E741" s="157"/>
      <c r="F741" s="157"/>
    </row>
    <row r="742" spans="1:6" ht="15.75" x14ac:dyDescent="0.25">
      <c r="A742" s="157"/>
      <c r="B742" s="157"/>
      <c r="C742" s="157"/>
      <c r="D742" s="157"/>
      <c r="E742" s="157"/>
      <c r="F742" s="157"/>
    </row>
    <row r="743" spans="1:6" ht="15.75" x14ac:dyDescent="0.25">
      <c r="A743" s="157"/>
      <c r="B743" s="157"/>
      <c r="C743" s="157"/>
      <c r="D743" s="157"/>
      <c r="E743" s="157"/>
      <c r="F743" s="157"/>
    </row>
    <row r="744" spans="1:6" ht="15.75" x14ac:dyDescent="0.25">
      <c r="A744" s="157"/>
      <c r="B744" s="157"/>
      <c r="C744" s="157"/>
      <c r="D744" s="157"/>
      <c r="E744" s="157"/>
      <c r="F744" s="157"/>
    </row>
    <row r="745" spans="1:6" ht="15.75" x14ac:dyDescent="0.25">
      <c r="A745" s="157"/>
      <c r="B745" s="157"/>
      <c r="C745" s="157"/>
      <c r="D745" s="157"/>
      <c r="E745" s="157"/>
      <c r="F745" s="157"/>
    </row>
    <row r="746" spans="1:6" ht="15.75" x14ac:dyDescent="0.25">
      <c r="A746" s="157"/>
      <c r="B746" s="157"/>
      <c r="C746" s="157"/>
      <c r="D746" s="157"/>
      <c r="E746" s="157"/>
      <c r="F746" s="157"/>
    </row>
    <row r="747" spans="1:6" ht="15.75" x14ac:dyDescent="0.25">
      <c r="A747" s="157"/>
      <c r="B747" s="157"/>
      <c r="C747" s="157"/>
      <c r="D747" s="157"/>
      <c r="E747" s="157"/>
      <c r="F747" s="157"/>
    </row>
    <row r="748" spans="1:6" ht="15.75" x14ac:dyDescent="0.25">
      <c r="A748" s="157"/>
      <c r="B748" s="157"/>
      <c r="C748" s="157"/>
      <c r="D748" s="157"/>
      <c r="E748" s="157"/>
      <c r="F748" s="157"/>
    </row>
    <row r="749" spans="1:6" ht="15.75" x14ac:dyDescent="0.25">
      <c r="A749" s="157"/>
      <c r="B749" s="157"/>
      <c r="C749" s="157"/>
      <c r="D749" s="157"/>
      <c r="E749" s="157"/>
      <c r="F749" s="157"/>
    </row>
    <row r="750" spans="1:6" ht="15.75" x14ac:dyDescent="0.25">
      <c r="A750" s="157"/>
      <c r="B750" s="157"/>
      <c r="C750" s="157"/>
      <c r="D750" s="157"/>
      <c r="E750" s="157"/>
      <c r="F750" s="157"/>
    </row>
    <row r="751" spans="1:6" ht="15.75" x14ac:dyDescent="0.25">
      <c r="A751" s="157"/>
      <c r="B751" s="157"/>
      <c r="C751" s="157"/>
      <c r="D751" s="157"/>
      <c r="E751" s="157"/>
      <c r="F751" s="157"/>
    </row>
    <row r="752" spans="1:6" ht="15.75" x14ac:dyDescent="0.25">
      <c r="A752" s="157"/>
      <c r="B752" s="157"/>
      <c r="C752" s="157"/>
      <c r="D752" s="157"/>
      <c r="E752" s="157"/>
      <c r="F752" s="157"/>
    </row>
    <row r="753" spans="1:6" ht="15.75" x14ac:dyDescent="0.25">
      <c r="A753" s="157"/>
      <c r="B753" s="157"/>
      <c r="C753" s="157"/>
      <c r="D753" s="157"/>
      <c r="E753" s="157"/>
      <c r="F753" s="157"/>
    </row>
    <row r="754" spans="1:6" ht="15.75" x14ac:dyDescent="0.25">
      <c r="A754" s="157"/>
      <c r="B754" s="157"/>
      <c r="C754" s="157"/>
      <c r="D754" s="157"/>
      <c r="E754" s="157"/>
      <c r="F754" s="157"/>
    </row>
    <row r="755" spans="1:6" ht="15.75" x14ac:dyDescent="0.25">
      <c r="A755" s="157"/>
      <c r="B755" s="157"/>
      <c r="C755" s="157"/>
      <c r="D755" s="157"/>
      <c r="E755" s="157"/>
      <c r="F755" s="157"/>
    </row>
    <row r="756" spans="1:6" ht="15.75" x14ac:dyDescent="0.25">
      <c r="A756" s="157"/>
      <c r="B756" s="157"/>
      <c r="C756" s="157"/>
      <c r="D756" s="157"/>
      <c r="E756" s="157"/>
      <c r="F756" s="157"/>
    </row>
    <row r="757" spans="1:6" ht="15.75" x14ac:dyDescent="0.25">
      <c r="A757" s="157"/>
      <c r="B757" s="157"/>
      <c r="C757" s="157"/>
      <c r="D757" s="157"/>
      <c r="E757" s="157"/>
      <c r="F757" s="157"/>
    </row>
    <row r="758" spans="1:6" ht="15.75" x14ac:dyDescent="0.25">
      <c r="A758" s="157"/>
      <c r="B758" s="157"/>
      <c r="C758" s="157"/>
      <c r="D758" s="157"/>
      <c r="E758" s="157"/>
      <c r="F758" s="157"/>
    </row>
    <row r="759" spans="1:6" ht="15.75" x14ac:dyDescent="0.25">
      <c r="A759" s="157"/>
      <c r="B759" s="157"/>
      <c r="C759" s="157"/>
      <c r="D759" s="157"/>
      <c r="E759" s="157"/>
      <c r="F759" s="157"/>
    </row>
    <row r="760" spans="1:6" ht="15.75" x14ac:dyDescent="0.25">
      <c r="A760" s="157"/>
      <c r="B760" s="157"/>
      <c r="C760" s="157"/>
      <c r="D760" s="157"/>
      <c r="E760" s="157"/>
      <c r="F760" s="157"/>
    </row>
    <row r="761" spans="1:6" ht="15.75" x14ac:dyDescent="0.25">
      <c r="A761" s="157"/>
      <c r="B761" s="157"/>
      <c r="C761" s="157"/>
      <c r="D761" s="157"/>
      <c r="E761" s="157"/>
      <c r="F761" s="157"/>
    </row>
    <row r="762" spans="1:6" ht="15.75" x14ac:dyDescent="0.25">
      <c r="A762" s="157"/>
      <c r="B762" s="157"/>
      <c r="C762" s="157"/>
      <c r="D762" s="157"/>
      <c r="E762" s="157"/>
      <c r="F762" s="157"/>
    </row>
    <row r="763" spans="1:6" ht="15.75" x14ac:dyDescent="0.25">
      <c r="A763" s="157"/>
      <c r="B763" s="157"/>
      <c r="C763" s="157"/>
      <c r="D763" s="157"/>
      <c r="E763" s="157"/>
      <c r="F763" s="157"/>
    </row>
    <row r="764" spans="1:6" ht="15.75" x14ac:dyDescent="0.25">
      <c r="A764" s="157"/>
      <c r="B764" s="157"/>
      <c r="C764" s="157"/>
      <c r="D764" s="157"/>
      <c r="E764" s="157"/>
      <c r="F764" s="157"/>
    </row>
    <row r="765" spans="1:6" ht="15.75" x14ac:dyDescent="0.25">
      <c r="A765" s="157"/>
      <c r="B765" s="157"/>
      <c r="C765" s="157"/>
      <c r="D765" s="157"/>
      <c r="E765" s="157"/>
      <c r="F765" s="157"/>
    </row>
    <row r="766" spans="1:6" ht="15.75" x14ac:dyDescent="0.25">
      <c r="A766" s="157"/>
      <c r="B766" s="157"/>
      <c r="C766" s="157"/>
      <c r="D766" s="157"/>
      <c r="E766" s="157"/>
      <c r="F766" s="157"/>
    </row>
    <row r="767" spans="1:6" ht="15.75" x14ac:dyDescent="0.25">
      <c r="A767" s="157"/>
      <c r="B767" s="157"/>
      <c r="C767" s="157"/>
      <c r="D767" s="157"/>
      <c r="E767" s="157"/>
      <c r="F767" s="157"/>
    </row>
    <row r="768" spans="1:6" ht="15.75" x14ac:dyDescent="0.25">
      <c r="A768" s="157"/>
      <c r="B768" s="157"/>
      <c r="C768" s="157"/>
      <c r="D768" s="157"/>
      <c r="E768" s="157"/>
      <c r="F768" s="157"/>
    </row>
    <row r="769" spans="1:6" ht="15.75" x14ac:dyDescent="0.25">
      <c r="A769" s="157"/>
      <c r="B769" s="157"/>
      <c r="C769" s="157"/>
      <c r="D769" s="157"/>
      <c r="E769" s="157"/>
      <c r="F769" s="157"/>
    </row>
    <row r="770" spans="1:6" ht="15.75" x14ac:dyDescent="0.25">
      <c r="A770" s="157"/>
      <c r="B770" s="157"/>
      <c r="C770" s="157"/>
      <c r="D770" s="157"/>
      <c r="E770" s="157"/>
      <c r="F770" s="157"/>
    </row>
    <row r="771" spans="1:6" ht="15.75" x14ac:dyDescent="0.25">
      <c r="A771" s="157"/>
      <c r="B771" s="157"/>
      <c r="C771" s="157"/>
      <c r="D771" s="157"/>
      <c r="E771" s="157"/>
      <c r="F771" s="157"/>
    </row>
    <row r="772" spans="1:6" ht="15.75" x14ac:dyDescent="0.25">
      <c r="A772" s="157"/>
      <c r="B772" s="157"/>
      <c r="C772" s="157"/>
      <c r="D772" s="157"/>
      <c r="E772" s="157"/>
      <c r="F772" s="157"/>
    </row>
    <row r="773" spans="1:6" ht="15.75" x14ac:dyDescent="0.25">
      <c r="A773" s="157"/>
      <c r="B773" s="157"/>
      <c r="C773" s="157"/>
      <c r="D773" s="157"/>
      <c r="E773" s="157"/>
      <c r="F773" s="157"/>
    </row>
    <row r="774" spans="1:6" ht="15.75" x14ac:dyDescent="0.25">
      <c r="A774" s="157"/>
      <c r="B774" s="157"/>
      <c r="C774" s="157"/>
      <c r="D774" s="157"/>
      <c r="E774" s="157"/>
      <c r="F774" s="157"/>
    </row>
    <row r="775" spans="1:6" ht="15.75" x14ac:dyDescent="0.25">
      <c r="A775" s="157"/>
      <c r="B775" s="157"/>
      <c r="C775" s="157"/>
      <c r="D775" s="157"/>
      <c r="E775" s="157"/>
      <c r="F775" s="157"/>
    </row>
    <row r="776" spans="1:6" ht="15.75" x14ac:dyDescent="0.25">
      <c r="A776" s="157"/>
      <c r="B776" s="157"/>
      <c r="C776" s="157"/>
      <c r="D776" s="157"/>
      <c r="E776" s="157"/>
      <c r="F776" s="157"/>
    </row>
    <row r="777" spans="1:6" ht="15.75" x14ac:dyDescent="0.25">
      <c r="A777" s="157"/>
      <c r="B777" s="157"/>
      <c r="C777" s="157"/>
      <c r="D777" s="157"/>
      <c r="E777" s="157"/>
      <c r="F777" s="157"/>
    </row>
    <row r="778" spans="1:6" ht="15.75" x14ac:dyDescent="0.25">
      <c r="A778" s="157"/>
      <c r="B778" s="157"/>
      <c r="C778" s="157"/>
      <c r="D778" s="157"/>
      <c r="E778" s="157"/>
      <c r="F778" s="157"/>
    </row>
    <row r="779" spans="1:6" ht="15.75" x14ac:dyDescent="0.25">
      <c r="A779" s="157"/>
      <c r="B779" s="157"/>
      <c r="C779" s="157"/>
      <c r="D779" s="157"/>
      <c r="E779" s="157"/>
      <c r="F779" s="157"/>
    </row>
    <row r="780" spans="1:6" ht="15.75" x14ac:dyDescent="0.25">
      <c r="A780" s="157"/>
      <c r="B780" s="157"/>
      <c r="C780" s="157"/>
      <c r="D780" s="157"/>
      <c r="E780" s="157"/>
      <c r="F780" s="157"/>
    </row>
    <row r="781" spans="1:6" ht="15.75" x14ac:dyDescent="0.25">
      <c r="A781" s="157"/>
      <c r="B781" s="157"/>
      <c r="C781" s="157"/>
      <c r="D781" s="157"/>
      <c r="E781" s="157"/>
      <c r="F781" s="157"/>
    </row>
    <row r="782" spans="1:6" ht="15.75" x14ac:dyDescent="0.25">
      <c r="A782" s="157"/>
      <c r="B782" s="157"/>
      <c r="C782" s="157"/>
      <c r="D782" s="157"/>
      <c r="E782" s="157"/>
      <c r="F782" s="157"/>
    </row>
    <row r="783" spans="1:6" ht="15.75" x14ac:dyDescent="0.25">
      <c r="A783" s="157"/>
      <c r="B783" s="157"/>
      <c r="C783" s="157"/>
      <c r="D783" s="157"/>
      <c r="E783" s="157"/>
      <c r="F783" s="157"/>
    </row>
    <row r="784" spans="1:6" ht="15.75" x14ac:dyDescent="0.25">
      <c r="A784" s="157"/>
      <c r="B784" s="157"/>
      <c r="C784" s="157"/>
      <c r="D784" s="157"/>
      <c r="E784" s="157"/>
      <c r="F784" s="157"/>
    </row>
    <row r="785" spans="1:6" ht="15.75" x14ac:dyDescent="0.25">
      <c r="A785" s="157"/>
      <c r="B785" s="157"/>
      <c r="C785" s="157"/>
      <c r="D785" s="157"/>
      <c r="E785" s="157"/>
      <c r="F785" s="157"/>
    </row>
    <row r="786" spans="1:6" ht="15.75" x14ac:dyDescent="0.25">
      <c r="A786" s="157"/>
      <c r="B786" s="157"/>
      <c r="C786" s="157"/>
      <c r="D786" s="157"/>
      <c r="E786" s="157"/>
      <c r="F786" s="157"/>
    </row>
    <row r="787" spans="1:6" ht="15.75" x14ac:dyDescent="0.25">
      <c r="A787" s="157"/>
      <c r="B787" s="157"/>
      <c r="C787" s="157"/>
      <c r="D787" s="157"/>
      <c r="E787" s="157"/>
      <c r="F787" s="157"/>
    </row>
    <row r="788" spans="1:6" ht="15.75" x14ac:dyDescent="0.25">
      <c r="A788" s="157"/>
      <c r="B788" s="157"/>
      <c r="C788" s="157"/>
      <c r="D788" s="157"/>
      <c r="E788" s="157"/>
      <c r="F788" s="157"/>
    </row>
    <row r="789" spans="1:6" ht="15.75" x14ac:dyDescent="0.25">
      <c r="A789" s="157"/>
      <c r="B789" s="157"/>
      <c r="C789" s="157"/>
      <c r="D789" s="157"/>
      <c r="E789" s="157"/>
      <c r="F789" s="157"/>
    </row>
    <row r="790" spans="1:6" ht="15.75" x14ac:dyDescent="0.25">
      <c r="A790" s="157"/>
      <c r="B790" s="157"/>
      <c r="C790" s="157"/>
      <c r="D790" s="157"/>
      <c r="E790" s="157"/>
      <c r="F790" s="157"/>
    </row>
    <row r="791" spans="1:6" ht="15.75" x14ac:dyDescent="0.25">
      <c r="A791" s="157"/>
      <c r="B791" s="157"/>
      <c r="C791" s="157"/>
      <c r="D791" s="157"/>
      <c r="E791" s="157"/>
      <c r="F791" s="157"/>
    </row>
    <row r="792" spans="1:6" ht="15.75" x14ac:dyDescent="0.25">
      <c r="A792" s="157"/>
      <c r="B792" s="157"/>
      <c r="C792" s="157"/>
      <c r="D792" s="157"/>
      <c r="E792" s="157"/>
      <c r="F792" s="157"/>
    </row>
    <row r="793" spans="1:6" ht="15.75" x14ac:dyDescent="0.25">
      <c r="A793" s="157"/>
      <c r="B793" s="157"/>
      <c r="C793" s="157"/>
      <c r="D793" s="157"/>
      <c r="E793" s="157"/>
      <c r="F793" s="157"/>
    </row>
    <row r="794" spans="1:6" ht="15.75" x14ac:dyDescent="0.25">
      <c r="A794" s="157"/>
      <c r="B794" s="157"/>
      <c r="C794" s="157"/>
      <c r="D794" s="157"/>
      <c r="E794" s="157"/>
      <c r="F794" s="157"/>
    </row>
    <row r="795" spans="1:6" ht="15.75" x14ac:dyDescent="0.25">
      <c r="A795" s="157"/>
      <c r="B795" s="157"/>
      <c r="C795" s="157"/>
      <c r="D795" s="157"/>
      <c r="E795" s="157"/>
      <c r="F795" s="157"/>
    </row>
    <row r="796" spans="1:6" ht="15.75" x14ac:dyDescent="0.25">
      <c r="A796" s="157"/>
      <c r="B796" s="157"/>
      <c r="C796" s="157"/>
      <c r="D796" s="157"/>
      <c r="E796" s="157"/>
      <c r="F796" s="157"/>
    </row>
    <row r="797" spans="1:6" ht="15.75" x14ac:dyDescent="0.25">
      <c r="A797" s="157"/>
      <c r="B797" s="157"/>
      <c r="C797" s="157"/>
      <c r="D797" s="157"/>
      <c r="E797" s="157"/>
      <c r="F797" s="157"/>
    </row>
    <row r="798" spans="1:6" ht="15.75" x14ac:dyDescent="0.25">
      <c r="A798" s="157"/>
      <c r="B798" s="157"/>
      <c r="C798" s="157"/>
      <c r="D798" s="157"/>
      <c r="E798" s="157"/>
      <c r="F798" s="157"/>
    </row>
    <row r="799" spans="1:6" ht="15.75" x14ac:dyDescent="0.25">
      <c r="A799" s="157"/>
      <c r="B799" s="157"/>
      <c r="C799" s="157"/>
      <c r="D799" s="157"/>
      <c r="E799" s="157"/>
      <c r="F799" s="157"/>
    </row>
    <row r="800" spans="1:6" ht="15.75" x14ac:dyDescent="0.25">
      <c r="A800" s="157"/>
      <c r="B800" s="157"/>
      <c r="C800" s="157"/>
      <c r="D800" s="157"/>
      <c r="E800" s="157"/>
      <c r="F800" s="157"/>
    </row>
    <row r="801" spans="1:6" ht="15.75" x14ac:dyDescent="0.25">
      <c r="A801" s="157"/>
      <c r="B801" s="157"/>
      <c r="C801" s="157"/>
      <c r="D801" s="157"/>
      <c r="E801" s="157"/>
      <c r="F801" s="157"/>
    </row>
    <row r="802" spans="1:6" ht="15.75" x14ac:dyDescent="0.25">
      <c r="A802" s="157"/>
      <c r="B802" s="157"/>
      <c r="C802" s="157"/>
      <c r="D802" s="157"/>
      <c r="E802" s="157"/>
      <c r="F802" s="157"/>
    </row>
    <row r="803" spans="1:6" ht="15.75" x14ac:dyDescent="0.25">
      <c r="A803" s="157"/>
      <c r="B803" s="157"/>
      <c r="C803" s="157"/>
      <c r="D803" s="157"/>
      <c r="E803" s="157"/>
      <c r="F803" s="157"/>
    </row>
    <row r="804" spans="1:6" ht="15.75" x14ac:dyDescent="0.25">
      <c r="A804" s="157"/>
      <c r="B804" s="157"/>
      <c r="C804" s="157"/>
      <c r="D804" s="157"/>
      <c r="E804" s="157"/>
      <c r="F804" s="157"/>
    </row>
    <row r="805" spans="1:6" ht="15.75" x14ac:dyDescent="0.25">
      <c r="A805" s="157"/>
      <c r="B805" s="157"/>
      <c r="C805" s="157"/>
      <c r="D805" s="157"/>
      <c r="E805" s="157"/>
      <c r="F805" s="157"/>
    </row>
    <row r="806" spans="1:6" ht="15.75" x14ac:dyDescent="0.25">
      <c r="A806" s="157"/>
      <c r="B806" s="157"/>
      <c r="C806" s="157"/>
      <c r="D806" s="157"/>
      <c r="E806" s="157"/>
      <c r="F806" s="157"/>
    </row>
    <row r="807" spans="1:6" ht="15.75" x14ac:dyDescent="0.25">
      <c r="A807" s="157"/>
      <c r="B807" s="157"/>
      <c r="C807" s="157"/>
      <c r="D807" s="157"/>
      <c r="E807" s="157"/>
      <c r="F807" s="157"/>
    </row>
    <row r="808" spans="1:6" ht="15.75" x14ac:dyDescent="0.25">
      <c r="A808" s="157"/>
      <c r="B808" s="157"/>
      <c r="C808" s="157"/>
      <c r="D808" s="157"/>
      <c r="E808" s="157"/>
      <c r="F808" s="157"/>
    </row>
    <row r="809" spans="1:6" ht="15.75" x14ac:dyDescent="0.25">
      <c r="A809" s="157"/>
      <c r="B809" s="157"/>
      <c r="C809" s="157"/>
      <c r="D809" s="157"/>
      <c r="E809" s="157"/>
      <c r="F809" s="157"/>
    </row>
    <row r="810" spans="1:6" ht="15.75" x14ac:dyDescent="0.25">
      <c r="A810" s="157"/>
      <c r="B810" s="157"/>
      <c r="C810" s="157"/>
      <c r="D810" s="157"/>
      <c r="E810" s="157"/>
      <c r="F810" s="157"/>
    </row>
    <row r="811" spans="1:6" ht="15.75" x14ac:dyDescent="0.25">
      <c r="A811" s="157"/>
      <c r="B811" s="157"/>
      <c r="C811" s="157"/>
      <c r="D811" s="157"/>
      <c r="E811" s="157"/>
      <c r="F811" s="157"/>
    </row>
    <row r="812" spans="1:6" ht="15.75" x14ac:dyDescent="0.25">
      <c r="A812" s="157"/>
      <c r="B812" s="157"/>
      <c r="C812" s="157"/>
      <c r="D812" s="157"/>
      <c r="E812" s="157"/>
      <c r="F812" s="157"/>
    </row>
    <row r="813" spans="1:6" ht="15.75" x14ac:dyDescent="0.25">
      <c r="A813" s="157"/>
      <c r="B813" s="157"/>
      <c r="C813" s="157"/>
      <c r="D813" s="157"/>
      <c r="E813" s="157"/>
      <c r="F813" s="157"/>
    </row>
    <row r="814" spans="1:6" ht="15.75" x14ac:dyDescent="0.25">
      <c r="A814" s="157"/>
      <c r="B814" s="157"/>
      <c r="C814" s="157"/>
      <c r="D814" s="157"/>
      <c r="E814" s="157"/>
      <c r="F814" s="157"/>
    </row>
    <row r="815" spans="1:6" ht="15.75" x14ac:dyDescent="0.25">
      <c r="A815" s="157"/>
      <c r="B815" s="157"/>
      <c r="C815" s="157"/>
      <c r="D815" s="157"/>
      <c r="E815" s="157"/>
      <c r="F815" s="157"/>
    </row>
    <row r="816" spans="1:6" ht="15.75" x14ac:dyDescent="0.25">
      <c r="A816" s="157"/>
      <c r="B816" s="157"/>
      <c r="C816" s="157"/>
      <c r="D816" s="157"/>
      <c r="E816" s="157"/>
      <c r="F816" s="157"/>
    </row>
    <row r="817" spans="1:6" ht="15.75" x14ac:dyDescent="0.25">
      <c r="A817" s="157"/>
      <c r="B817" s="157"/>
      <c r="C817" s="157"/>
      <c r="D817" s="157"/>
      <c r="E817" s="157"/>
      <c r="F817" s="157"/>
    </row>
    <row r="818" spans="1:6" ht="15.75" x14ac:dyDescent="0.25">
      <c r="A818" s="157"/>
      <c r="B818" s="157"/>
      <c r="C818" s="157"/>
      <c r="D818" s="157"/>
      <c r="E818" s="157"/>
      <c r="F818" s="157"/>
    </row>
    <row r="819" spans="1:6" ht="15.75" x14ac:dyDescent="0.25">
      <c r="A819" s="157"/>
      <c r="B819" s="157"/>
      <c r="C819" s="157"/>
      <c r="D819" s="157"/>
      <c r="E819" s="157"/>
      <c r="F819" s="157"/>
    </row>
    <row r="820" spans="1:6" ht="15.75" x14ac:dyDescent="0.25">
      <c r="A820" s="157"/>
      <c r="B820" s="157"/>
      <c r="C820" s="157"/>
      <c r="D820" s="157"/>
      <c r="E820" s="157"/>
      <c r="F820" s="157"/>
    </row>
    <row r="821" spans="1:6" ht="15.75" x14ac:dyDescent="0.25">
      <c r="A821" s="157"/>
      <c r="B821" s="157"/>
      <c r="C821" s="157"/>
      <c r="D821" s="157"/>
      <c r="E821" s="157"/>
      <c r="F821" s="157"/>
    </row>
    <row r="822" spans="1:6" ht="15.75" x14ac:dyDescent="0.25">
      <c r="A822" s="157"/>
      <c r="B822" s="157"/>
      <c r="C822" s="157"/>
      <c r="D822" s="157"/>
      <c r="E822" s="157"/>
      <c r="F822" s="157"/>
    </row>
    <row r="823" spans="1:6" ht="15.75" x14ac:dyDescent="0.25">
      <c r="A823" s="157"/>
      <c r="B823" s="157"/>
      <c r="C823" s="157"/>
      <c r="D823" s="157"/>
      <c r="E823" s="157"/>
      <c r="F823" s="157"/>
    </row>
    <row r="824" spans="1:6" ht="15.75" x14ac:dyDescent="0.25">
      <c r="A824" s="157"/>
      <c r="B824" s="157"/>
      <c r="C824" s="157"/>
      <c r="D824" s="157"/>
      <c r="E824" s="157"/>
      <c r="F824" s="157"/>
    </row>
    <row r="825" spans="1:6" ht="15.75" x14ac:dyDescent="0.25">
      <c r="A825" s="157"/>
      <c r="B825" s="157"/>
      <c r="C825" s="157"/>
      <c r="D825" s="157"/>
      <c r="E825" s="157"/>
      <c r="F825" s="157"/>
    </row>
    <row r="826" spans="1:6" ht="15.75" x14ac:dyDescent="0.25">
      <c r="A826" s="157"/>
      <c r="B826" s="157"/>
      <c r="C826" s="157"/>
      <c r="D826" s="157"/>
      <c r="E826" s="157"/>
      <c r="F826" s="157"/>
    </row>
    <row r="827" spans="1:6" ht="15.75" x14ac:dyDescent="0.25">
      <c r="A827" s="157"/>
      <c r="B827" s="157"/>
      <c r="C827" s="157"/>
      <c r="D827" s="157"/>
      <c r="E827" s="157"/>
      <c r="F827" s="157"/>
    </row>
    <row r="828" spans="1:6" ht="15.75" x14ac:dyDescent="0.25">
      <c r="A828" s="157"/>
      <c r="B828" s="157"/>
      <c r="C828" s="157"/>
      <c r="D828" s="157"/>
      <c r="E828" s="157"/>
      <c r="F828" s="157"/>
    </row>
    <row r="829" spans="1:6" ht="15.75" x14ac:dyDescent="0.25">
      <c r="A829" s="157"/>
      <c r="B829" s="157"/>
      <c r="C829" s="157"/>
      <c r="D829" s="157"/>
      <c r="E829" s="157"/>
      <c r="F829" s="157"/>
    </row>
    <row r="830" spans="1:6" ht="15.75" x14ac:dyDescent="0.25">
      <c r="A830" s="157"/>
      <c r="B830" s="157"/>
      <c r="C830" s="157"/>
      <c r="D830" s="157"/>
      <c r="E830" s="157"/>
      <c r="F830" s="157"/>
    </row>
    <row r="831" spans="1:6" ht="15.75" x14ac:dyDescent="0.25">
      <c r="A831" s="157"/>
      <c r="B831" s="157"/>
      <c r="C831" s="157"/>
      <c r="D831" s="157"/>
      <c r="E831" s="157"/>
      <c r="F831" s="157"/>
    </row>
    <row r="832" spans="1:6" ht="15.75" x14ac:dyDescent="0.25">
      <c r="A832" s="157"/>
      <c r="B832" s="157"/>
      <c r="C832" s="157"/>
      <c r="D832" s="157"/>
      <c r="E832" s="157"/>
      <c r="F832" s="157"/>
    </row>
    <row r="833" spans="1:6" ht="15.75" x14ac:dyDescent="0.25">
      <c r="A833" s="157"/>
      <c r="B833" s="157"/>
      <c r="C833" s="157"/>
      <c r="D833" s="157"/>
      <c r="E833" s="157"/>
      <c r="F833" s="157"/>
    </row>
    <row r="834" spans="1:6" ht="15.75" x14ac:dyDescent="0.25">
      <c r="A834" s="157"/>
      <c r="B834" s="157"/>
      <c r="C834" s="157"/>
      <c r="D834" s="157"/>
      <c r="E834" s="157"/>
      <c r="F834" s="157"/>
    </row>
    <row r="835" spans="1:6" ht="15.75" x14ac:dyDescent="0.25">
      <c r="A835" s="157"/>
      <c r="B835" s="157"/>
      <c r="C835" s="157"/>
      <c r="D835" s="157"/>
      <c r="E835" s="157"/>
      <c r="F835" s="157"/>
    </row>
    <row r="836" spans="1:6" ht="15.75" x14ac:dyDescent="0.25">
      <c r="A836" s="157"/>
      <c r="B836" s="157"/>
      <c r="C836" s="157"/>
      <c r="D836" s="157"/>
      <c r="E836" s="157"/>
      <c r="F836" s="157"/>
    </row>
    <row r="837" spans="1:6" ht="15.75" x14ac:dyDescent="0.25">
      <c r="A837" s="157"/>
      <c r="B837" s="157"/>
      <c r="C837" s="157"/>
      <c r="D837" s="157"/>
      <c r="E837" s="157"/>
      <c r="F837" s="157"/>
    </row>
    <row r="838" spans="1:6" ht="15.75" x14ac:dyDescent="0.25">
      <c r="A838" s="157"/>
      <c r="B838" s="157"/>
      <c r="C838" s="157"/>
      <c r="D838" s="157"/>
      <c r="E838" s="157"/>
      <c r="F838" s="157"/>
    </row>
    <row r="839" spans="1:6" ht="15.75" x14ac:dyDescent="0.25">
      <c r="A839" s="157"/>
      <c r="B839" s="157"/>
      <c r="C839" s="157"/>
      <c r="D839" s="157"/>
      <c r="E839" s="157"/>
      <c r="F839" s="157"/>
    </row>
    <row r="840" spans="1:6" ht="15.75" x14ac:dyDescent="0.25">
      <c r="A840" s="157"/>
      <c r="B840" s="157"/>
      <c r="C840" s="157"/>
      <c r="D840" s="157"/>
      <c r="E840" s="157"/>
      <c r="F840" s="157"/>
    </row>
    <row r="841" spans="1:6" ht="15.75" x14ac:dyDescent="0.25">
      <c r="A841" s="157"/>
      <c r="B841" s="157"/>
      <c r="C841" s="157"/>
      <c r="D841" s="157"/>
      <c r="E841" s="157"/>
      <c r="F841" s="157"/>
    </row>
    <row r="842" spans="1:6" ht="15.75" x14ac:dyDescent="0.25">
      <c r="A842" s="157"/>
      <c r="B842" s="157"/>
      <c r="C842" s="157"/>
      <c r="D842" s="157"/>
      <c r="E842" s="157"/>
      <c r="F842" s="157"/>
    </row>
    <row r="843" spans="1:6" ht="15.75" x14ac:dyDescent="0.25">
      <c r="A843" s="157"/>
      <c r="B843" s="157"/>
      <c r="C843" s="157"/>
      <c r="D843" s="157"/>
      <c r="E843" s="157"/>
      <c r="F843" s="157"/>
    </row>
    <row r="844" spans="1:6" ht="15.75" x14ac:dyDescent="0.25">
      <c r="A844" s="157"/>
      <c r="B844" s="157"/>
      <c r="C844" s="157"/>
      <c r="D844" s="157"/>
      <c r="E844" s="157"/>
      <c r="F844" s="157"/>
    </row>
    <row r="845" spans="1:6" ht="15.75" x14ac:dyDescent="0.25">
      <c r="A845" s="157"/>
      <c r="B845" s="157"/>
      <c r="C845" s="157"/>
      <c r="D845" s="157"/>
      <c r="E845" s="157"/>
      <c r="F845" s="157"/>
    </row>
    <row r="846" spans="1:6" ht="15.75" x14ac:dyDescent="0.25">
      <c r="A846" s="157"/>
      <c r="B846" s="157"/>
      <c r="C846" s="157"/>
      <c r="D846" s="157"/>
      <c r="E846" s="157"/>
      <c r="F846" s="157"/>
    </row>
    <row r="847" spans="1:6" ht="15.75" x14ac:dyDescent="0.25">
      <c r="A847" s="157"/>
      <c r="B847" s="157"/>
      <c r="C847" s="157"/>
      <c r="D847" s="157"/>
      <c r="E847" s="157"/>
      <c r="F847" s="157"/>
    </row>
    <row r="848" spans="1:6" ht="15.75" x14ac:dyDescent="0.25">
      <c r="A848" s="157"/>
      <c r="B848" s="157"/>
      <c r="C848" s="157"/>
      <c r="D848" s="157"/>
      <c r="E848" s="157"/>
      <c r="F848" s="157"/>
    </row>
    <row r="849" spans="1:6" ht="15.75" x14ac:dyDescent="0.25">
      <c r="A849" s="157"/>
      <c r="B849" s="157"/>
      <c r="C849" s="157"/>
      <c r="D849" s="157"/>
      <c r="E849" s="157"/>
      <c r="F849" s="157"/>
    </row>
    <row r="850" spans="1:6" ht="15.75" x14ac:dyDescent="0.25">
      <c r="A850" s="157"/>
      <c r="B850" s="157"/>
      <c r="C850" s="157"/>
      <c r="D850" s="157"/>
      <c r="E850" s="157"/>
      <c r="F850" s="157"/>
    </row>
    <row r="851" spans="1:6" ht="15.75" x14ac:dyDescent="0.25">
      <c r="A851" s="157"/>
      <c r="B851" s="157"/>
      <c r="C851" s="157"/>
      <c r="D851" s="157"/>
      <c r="E851" s="157"/>
      <c r="F851" s="157"/>
    </row>
    <row r="852" spans="1:6" ht="15.75" x14ac:dyDescent="0.25">
      <c r="A852" s="157"/>
      <c r="B852" s="157"/>
      <c r="C852" s="157"/>
      <c r="D852" s="157"/>
      <c r="E852" s="157"/>
      <c r="F852" s="157"/>
    </row>
    <row r="853" spans="1:6" ht="15.75" x14ac:dyDescent="0.25">
      <c r="A853" s="157"/>
      <c r="B853" s="157"/>
      <c r="C853" s="157"/>
      <c r="D853" s="157"/>
      <c r="E853" s="157"/>
      <c r="F853" s="157"/>
    </row>
    <row r="854" spans="1:6" ht="15.75" x14ac:dyDescent="0.25">
      <c r="A854" s="157"/>
      <c r="B854" s="157"/>
      <c r="C854" s="157"/>
      <c r="D854" s="157"/>
      <c r="E854" s="157"/>
      <c r="F854" s="157"/>
    </row>
    <row r="855" spans="1:6" ht="15.75" x14ac:dyDescent="0.25">
      <c r="A855" s="157"/>
      <c r="B855" s="157"/>
      <c r="C855" s="157"/>
      <c r="D855" s="157"/>
      <c r="E855" s="157"/>
      <c r="F855" s="157"/>
    </row>
    <row r="856" spans="1:6" ht="15.75" x14ac:dyDescent="0.25">
      <c r="A856" s="157"/>
      <c r="B856" s="157"/>
      <c r="C856" s="157"/>
      <c r="D856" s="157"/>
      <c r="E856" s="157"/>
      <c r="F856" s="157"/>
    </row>
    <row r="857" spans="1:6" ht="15.75" x14ac:dyDescent="0.25">
      <c r="A857" s="157"/>
      <c r="B857" s="157"/>
      <c r="C857" s="157"/>
      <c r="D857" s="157"/>
      <c r="E857" s="157"/>
      <c r="F857" s="157"/>
    </row>
    <row r="858" spans="1:6" ht="15.75" x14ac:dyDescent="0.25">
      <c r="A858" s="157"/>
      <c r="B858" s="157"/>
      <c r="C858" s="157"/>
      <c r="D858" s="157"/>
      <c r="E858" s="157"/>
      <c r="F858" s="157"/>
    </row>
    <row r="859" spans="1:6" ht="15.75" x14ac:dyDescent="0.25">
      <c r="A859" s="157"/>
      <c r="B859" s="157"/>
      <c r="C859" s="157"/>
      <c r="D859" s="157"/>
      <c r="E859" s="157"/>
      <c r="F859" s="157"/>
    </row>
    <row r="860" spans="1:6" ht="15.75" x14ac:dyDescent="0.25">
      <c r="A860" s="157"/>
      <c r="B860" s="157"/>
      <c r="C860" s="157"/>
      <c r="D860" s="157"/>
      <c r="E860" s="157"/>
      <c r="F860" s="157"/>
    </row>
    <row r="861" spans="1:6" ht="15.75" x14ac:dyDescent="0.25">
      <c r="A861" s="157"/>
      <c r="B861" s="157"/>
      <c r="C861" s="157"/>
      <c r="D861" s="157"/>
      <c r="E861" s="157"/>
      <c r="F861" s="157"/>
    </row>
    <row r="862" spans="1:6" ht="15.75" x14ac:dyDescent="0.25">
      <c r="A862" s="157"/>
      <c r="B862" s="157"/>
      <c r="C862" s="157"/>
      <c r="D862" s="157"/>
      <c r="E862" s="157"/>
      <c r="F862" s="157"/>
    </row>
    <row r="863" spans="1:6" ht="15.75" x14ac:dyDescent="0.25">
      <c r="A863" s="157"/>
      <c r="B863" s="157"/>
      <c r="C863" s="157"/>
      <c r="D863" s="157"/>
      <c r="E863" s="157"/>
      <c r="F863" s="157"/>
    </row>
    <row r="864" spans="1:6" ht="15.75" x14ac:dyDescent="0.25">
      <c r="A864" s="157"/>
      <c r="B864" s="157"/>
      <c r="C864" s="157"/>
      <c r="D864" s="157"/>
      <c r="E864" s="157"/>
      <c r="F864" s="157"/>
    </row>
    <row r="865" spans="1:6" ht="15.75" x14ac:dyDescent="0.25">
      <c r="A865" s="157"/>
      <c r="B865" s="157"/>
      <c r="C865" s="157"/>
      <c r="D865" s="157"/>
      <c r="E865" s="157"/>
      <c r="F865" s="157"/>
    </row>
    <row r="866" spans="1:6" ht="15.75" x14ac:dyDescent="0.25">
      <c r="A866" s="157"/>
      <c r="B866" s="157"/>
      <c r="C866" s="157"/>
      <c r="D866" s="157"/>
      <c r="E866" s="157"/>
      <c r="F866" s="157"/>
    </row>
    <row r="867" spans="1:6" ht="15.75" x14ac:dyDescent="0.25">
      <c r="A867" s="157"/>
      <c r="B867" s="157"/>
      <c r="C867" s="157"/>
      <c r="D867" s="157"/>
      <c r="E867" s="157"/>
      <c r="F867" s="157"/>
    </row>
    <row r="868" spans="1:6" ht="15.75" x14ac:dyDescent="0.25">
      <c r="A868" s="157"/>
      <c r="B868" s="157"/>
      <c r="C868" s="157"/>
      <c r="D868" s="157"/>
      <c r="E868" s="157"/>
      <c r="F868" s="157"/>
    </row>
    <row r="869" spans="1:6" ht="15.75" x14ac:dyDescent="0.25">
      <c r="A869" s="157"/>
      <c r="B869" s="157"/>
      <c r="C869" s="157"/>
      <c r="D869" s="157"/>
      <c r="E869" s="157"/>
      <c r="F869" s="157"/>
    </row>
    <row r="870" spans="1:6" ht="15.75" x14ac:dyDescent="0.25">
      <c r="A870" s="157"/>
      <c r="B870" s="157"/>
      <c r="C870" s="157"/>
      <c r="D870" s="157"/>
      <c r="E870" s="157"/>
      <c r="F870" s="157"/>
    </row>
    <row r="871" spans="1:6" ht="15.75" x14ac:dyDescent="0.25">
      <c r="A871" s="157"/>
      <c r="B871" s="157"/>
      <c r="C871" s="157"/>
      <c r="D871" s="157"/>
      <c r="E871" s="157"/>
      <c r="F871" s="157"/>
    </row>
    <row r="872" spans="1:6" ht="15.75" x14ac:dyDescent="0.25">
      <c r="A872" s="157"/>
      <c r="B872" s="157"/>
      <c r="C872" s="157"/>
      <c r="D872" s="157"/>
      <c r="E872" s="157"/>
      <c r="F872" s="157"/>
    </row>
    <row r="873" spans="1:6" ht="15.75" x14ac:dyDescent="0.25">
      <c r="A873" s="157"/>
      <c r="B873" s="157"/>
      <c r="C873" s="157"/>
      <c r="D873" s="157"/>
      <c r="E873" s="157"/>
      <c r="F873" s="157"/>
    </row>
    <row r="874" spans="1:6" ht="15.75" x14ac:dyDescent="0.25">
      <c r="A874" s="157"/>
      <c r="B874" s="157"/>
      <c r="C874" s="157"/>
      <c r="D874" s="157"/>
      <c r="E874" s="157"/>
      <c r="F874" s="157"/>
    </row>
    <row r="875" spans="1:6" ht="15.75" x14ac:dyDescent="0.25">
      <c r="A875" s="157"/>
      <c r="B875" s="157"/>
      <c r="C875" s="157"/>
      <c r="D875" s="157"/>
      <c r="E875" s="157"/>
      <c r="F875" s="157"/>
    </row>
    <row r="876" spans="1:6" ht="15.75" x14ac:dyDescent="0.25">
      <c r="A876" s="157"/>
      <c r="B876" s="157"/>
      <c r="C876" s="157"/>
      <c r="D876" s="157"/>
      <c r="E876" s="157"/>
      <c r="F876" s="157"/>
    </row>
    <row r="877" spans="1:6" ht="15.75" x14ac:dyDescent="0.25">
      <c r="A877" s="157"/>
      <c r="B877" s="157"/>
      <c r="C877" s="157"/>
      <c r="D877" s="157"/>
      <c r="E877" s="157"/>
      <c r="F877" s="157"/>
    </row>
    <row r="878" spans="1:6" ht="15.75" x14ac:dyDescent="0.25">
      <c r="A878" s="157"/>
      <c r="B878" s="157"/>
      <c r="C878" s="157"/>
      <c r="D878" s="157"/>
      <c r="E878" s="157"/>
      <c r="F878" s="157"/>
    </row>
    <row r="879" spans="1:6" ht="15.75" x14ac:dyDescent="0.25">
      <c r="A879" s="157"/>
      <c r="B879" s="157"/>
      <c r="C879" s="157"/>
      <c r="D879" s="157"/>
      <c r="E879" s="157"/>
      <c r="F879" s="157"/>
    </row>
    <row r="880" spans="1:6" ht="15.75" x14ac:dyDescent="0.25">
      <c r="A880" s="157"/>
      <c r="B880" s="157"/>
      <c r="C880" s="157"/>
      <c r="D880" s="157"/>
      <c r="E880" s="157"/>
      <c r="F880" s="157"/>
    </row>
    <row r="881" spans="1:6" ht="15.75" x14ac:dyDescent="0.25">
      <c r="A881" s="157"/>
      <c r="B881" s="157"/>
      <c r="C881" s="157"/>
      <c r="D881" s="157"/>
      <c r="E881" s="157"/>
      <c r="F881" s="157"/>
    </row>
    <row r="882" spans="1:6" ht="15.75" x14ac:dyDescent="0.25">
      <c r="A882" s="157"/>
      <c r="B882" s="157"/>
      <c r="C882" s="157"/>
      <c r="D882" s="157"/>
      <c r="E882" s="157"/>
      <c r="F882" s="157"/>
    </row>
    <row r="883" spans="1:6" ht="15.75" x14ac:dyDescent="0.25">
      <c r="A883" s="157"/>
      <c r="B883" s="157"/>
      <c r="C883" s="157"/>
      <c r="D883" s="157"/>
      <c r="E883" s="157"/>
      <c r="F883" s="157"/>
    </row>
    <row r="884" spans="1:6" ht="15.75" x14ac:dyDescent="0.25">
      <c r="A884" s="157"/>
      <c r="B884" s="157"/>
      <c r="C884" s="157"/>
      <c r="D884" s="157"/>
      <c r="E884" s="157"/>
      <c r="F884" s="157"/>
    </row>
    <row r="885" spans="1:6" ht="15.75" x14ac:dyDescent="0.25">
      <c r="A885" s="157"/>
      <c r="B885" s="157"/>
      <c r="C885" s="157"/>
      <c r="D885" s="157"/>
      <c r="E885" s="157"/>
      <c r="F885" s="157"/>
    </row>
    <row r="886" spans="1:6" ht="15.75" x14ac:dyDescent="0.25">
      <c r="A886" s="157"/>
      <c r="B886" s="157"/>
      <c r="C886" s="157"/>
      <c r="D886" s="157"/>
      <c r="E886" s="157"/>
      <c r="F886" s="157"/>
    </row>
    <row r="887" spans="1:6" ht="15.75" x14ac:dyDescent="0.25">
      <c r="A887" s="157"/>
      <c r="B887" s="157"/>
      <c r="C887" s="157"/>
      <c r="D887" s="157"/>
      <c r="E887" s="157"/>
      <c r="F887" s="157"/>
    </row>
    <row r="888" spans="1:6" ht="15.75" x14ac:dyDescent="0.25">
      <c r="A888" s="157"/>
      <c r="B888" s="157"/>
      <c r="C888" s="157"/>
      <c r="D888" s="157"/>
      <c r="E888" s="157"/>
      <c r="F888" s="157"/>
    </row>
    <row r="889" spans="1:6" ht="15.75" x14ac:dyDescent="0.25">
      <c r="A889" s="157"/>
      <c r="B889" s="157"/>
      <c r="C889" s="157"/>
      <c r="D889" s="157"/>
      <c r="E889" s="157"/>
      <c r="F889" s="157"/>
    </row>
    <row r="890" spans="1:6" ht="15.75" x14ac:dyDescent="0.25">
      <c r="A890" s="157"/>
      <c r="B890" s="157"/>
      <c r="C890" s="157"/>
      <c r="D890" s="157"/>
      <c r="E890" s="157"/>
      <c r="F890" s="157"/>
    </row>
    <row r="891" spans="1:6" ht="15.75" x14ac:dyDescent="0.25">
      <c r="A891" s="157"/>
      <c r="B891" s="157"/>
      <c r="C891" s="157"/>
      <c r="D891" s="157"/>
      <c r="E891" s="157"/>
      <c r="F891" s="157"/>
    </row>
    <row r="892" spans="1:6" ht="15.75" x14ac:dyDescent="0.25">
      <c r="A892" s="157"/>
      <c r="B892" s="157"/>
      <c r="C892" s="157"/>
      <c r="D892" s="157"/>
      <c r="E892" s="157"/>
      <c r="F892" s="157"/>
    </row>
    <row r="893" spans="1:6" ht="15.75" x14ac:dyDescent="0.25">
      <c r="A893" s="157"/>
      <c r="B893" s="157"/>
      <c r="C893" s="157"/>
      <c r="D893" s="157"/>
      <c r="E893" s="157"/>
      <c r="F893" s="157"/>
    </row>
    <row r="894" spans="1:6" ht="15.75" x14ac:dyDescent="0.25">
      <c r="A894" s="157"/>
      <c r="B894" s="157"/>
      <c r="C894" s="157"/>
      <c r="D894" s="157"/>
      <c r="E894" s="157"/>
      <c r="F894" s="157"/>
    </row>
    <row r="895" spans="1:6" ht="15.75" x14ac:dyDescent="0.25">
      <c r="A895" s="157"/>
      <c r="B895" s="157"/>
      <c r="C895" s="157"/>
      <c r="D895" s="157"/>
      <c r="E895" s="157"/>
      <c r="F895" s="157"/>
    </row>
    <row r="896" spans="1:6" ht="15.75" x14ac:dyDescent="0.25">
      <c r="A896" s="157"/>
      <c r="B896" s="157"/>
      <c r="C896" s="157"/>
      <c r="D896" s="157"/>
      <c r="E896" s="157"/>
      <c r="F896" s="157"/>
    </row>
    <row r="897" spans="1:6" ht="15.75" x14ac:dyDescent="0.25">
      <c r="A897" s="157"/>
      <c r="B897" s="157"/>
      <c r="C897" s="157"/>
      <c r="D897" s="157"/>
      <c r="E897" s="157"/>
      <c r="F897" s="157"/>
    </row>
    <row r="898" spans="1:6" ht="15.75" x14ac:dyDescent="0.25">
      <c r="A898" s="157"/>
      <c r="B898" s="157"/>
      <c r="C898" s="157"/>
      <c r="D898" s="157"/>
      <c r="E898" s="157"/>
      <c r="F898" s="157"/>
    </row>
    <row r="899" spans="1:6" ht="15.75" x14ac:dyDescent="0.25">
      <c r="A899" s="157"/>
      <c r="B899" s="157"/>
      <c r="C899" s="157"/>
      <c r="D899" s="157"/>
      <c r="E899" s="157"/>
      <c r="F899" s="157"/>
    </row>
    <row r="900" spans="1:6" ht="15.75" x14ac:dyDescent="0.25">
      <c r="A900" s="157"/>
      <c r="B900" s="157"/>
      <c r="C900" s="157"/>
      <c r="D900" s="157"/>
      <c r="E900" s="157"/>
      <c r="F900" s="157"/>
    </row>
    <row r="901" spans="1:6" ht="15.75" x14ac:dyDescent="0.25">
      <c r="A901" s="157"/>
      <c r="B901" s="157"/>
      <c r="C901" s="157"/>
      <c r="D901" s="157"/>
      <c r="E901" s="157"/>
      <c r="F901" s="157"/>
    </row>
    <row r="902" spans="1:6" ht="15.75" x14ac:dyDescent="0.25">
      <c r="A902" s="157"/>
      <c r="B902" s="157"/>
      <c r="C902" s="157"/>
      <c r="D902" s="157"/>
      <c r="E902" s="157"/>
      <c r="F902" s="157"/>
    </row>
    <row r="903" spans="1:6" ht="15.75" x14ac:dyDescent="0.25">
      <c r="A903" s="157"/>
      <c r="B903" s="157"/>
      <c r="C903" s="157"/>
      <c r="D903" s="157"/>
      <c r="E903" s="157"/>
      <c r="F903" s="157"/>
    </row>
    <row r="904" spans="1:6" ht="15.75" x14ac:dyDescent="0.25">
      <c r="A904" s="157"/>
      <c r="B904" s="157"/>
      <c r="C904" s="157"/>
      <c r="D904" s="157"/>
      <c r="E904" s="157"/>
      <c r="F904" s="157"/>
    </row>
    <row r="905" spans="1:6" ht="15.75" x14ac:dyDescent="0.25">
      <c r="A905" s="157"/>
      <c r="B905" s="157"/>
      <c r="C905" s="157"/>
      <c r="D905" s="157"/>
      <c r="E905" s="157"/>
      <c r="F905" s="157"/>
    </row>
    <row r="906" spans="1:6" ht="15.75" x14ac:dyDescent="0.25">
      <c r="A906" s="157"/>
      <c r="B906" s="157"/>
      <c r="C906" s="157"/>
      <c r="D906" s="157"/>
      <c r="E906" s="157"/>
      <c r="F906" s="157"/>
    </row>
    <row r="907" spans="1:6" ht="15.75" x14ac:dyDescent="0.25">
      <c r="A907" s="157"/>
      <c r="B907" s="157"/>
      <c r="C907" s="157"/>
      <c r="D907" s="157"/>
      <c r="E907" s="157"/>
      <c r="F907" s="157"/>
    </row>
    <row r="908" spans="1:6" ht="15.75" x14ac:dyDescent="0.25">
      <c r="A908" s="157"/>
      <c r="B908" s="157"/>
      <c r="C908" s="157"/>
      <c r="D908" s="157"/>
      <c r="E908" s="157"/>
      <c r="F908" s="157"/>
    </row>
    <row r="909" spans="1:6" ht="15.75" x14ac:dyDescent="0.25">
      <c r="A909" s="157"/>
      <c r="B909" s="157"/>
      <c r="C909" s="157"/>
      <c r="D909" s="157"/>
      <c r="E909" s="157"/>
      <c r="F909" s="157"/>
    </row>
    <row r="910" spans="1:6" ht="15.75" x14ac:dyDescent="0.25">
      <c r="A910" s="157"/>
      <c r="B910" s="157"/>
      <c r="C910" s="157"/>
      <c r="D910" s="157"/>
      <c r="E910" s="157"/>
      <c r="F910" s="157"/>
    </row>
    <row r="911" spans="1:6" ht="15.75" x14ac:dyDescent="0.25">
      <c r="A911" s="157"/>
      <c r="B911" s="157"/>
      <c r="C911" s="157"/>
      <c r="D911" s="157"/>
      <c r="E911" s="157"/>
      <c r="F911" s="157"/>
    </row>
    <row r="912" spans="1:6" ht="15.75" x14ac:dyDescent="0.25">
      <c r="A912" s="157"/>
      <c r="B912" s="157"/>
      <c r="C912" s="157"/>
      <c r="D912" s="157"/>
      <c r="E912" s="157"/>
      <c r="F912" s="157"/>
    </row>
    <row r="913" spans="1:6" ht="15.75" x14ac:dyDescent="0.25">
      <c r="A913" s="157"/>
      <c r="B913" s="157"/>
      <c r="C913" s="157"/>
      <c r="D913" s="157"/>
      <c r="E913" s="157"/>
      <c r="F913" s="157"/>
    </row>
    <row r="914" spans="1:6" ht="15.75" x14ac:dyDescent="0.25">
      <c r="A914" s="157"/>
      <c r="B914" s="157"/>
      <c r="C914" s="157"/>
      <c r="D914" s="157"/>
      <c r="E914" s="157"/>
      <c r="F914" s="157"/>
    </row>
    <row r="915" spans="1:6" ht="15.75" x14ac:dyDescent="0.25">
      <c r="A915" s="157"/>
      <c r="B915" s="157"/>
      <c r="C915" s="157"/>
      <c r="D915" s="157"/>
      <c r="E915" s="157"/>
      <c r="F915" s="157"/>
    </row>
    <row r="916" spans="1:6" ht="15.75" x14ac:dyDescent="0.25">
      <c r="A916" s="157"/>
      <c r="B916" s="157"/>
      <c r="C916" s="157"/>
      <c r="D916" s="157"/>
      <c r="E916" s="157"/>
      <c r="F916" s="157"/>
    </row>
    <row r="917" spans="1:6" ht="15.75" x14ac:dyDescent="0.25">
      <c r="A917" s="157"/>
      <c r="B917" s="157"/>
      <c r="C917" s="157"/>
      <c r="D917" s="157"/>
      <c r="E917" s="157"/>
      <c r="F917" s="157"/>
    </row>
    <row r="918" spans="1:6" ht="15.75" x14ac:dyDescent="0.25">
      <c r="A918" s="157"/>
      <c r="B918" s="157"/>
      <c r="C918" s="157"/>
      <c r="D918" s="157"/>
      <c r="E918" s="157"/>
      <c r="F918" s="157"/>
    </row>
    <row r="919" spans="1:6" ht="15.75" x14ac:dyDescent="0.25">
      <c r="A919" s="157"/>
      <c r="B919" s="157"/>
      <c r="C919" s="157"/>
      <c r="D919" s="157"/>
      <c r="E919" s="157"/>
      <c r="F919" s="157"/>
    </row>
    <row r="920" spans="1:6" ht="15.75" x14ac:dyDescent="0.25">
      <c r="A920" s="157"/>
      <c r="B920" s="157"/>
      <c r="C920" s="157"/>
      <c r="D920" s="157"/>
      <c r="E920" s="157"/>
      <c r="F920" s="157"/>
    </row>
    <row r="921" spans="1:6" ht="15.75" x14ac:dyDescent="0.25">
      <c r="A921" s="157"/>
      <c r="B921" s="157"/>
      <c r="C921" s="157"/>
      <c r="D921" s="157"/>
      <c r="E921" s="157"/>
      <c r="F921" s="157"/>
    </row>
    <row r="922" spans="1:6" ht="15.75" x14ac:dyDescent="0.25">
      <c r="A922" s="157"/>
      <c r="B922" s="157"/>
      <c r="C922" s="157"/>
      <c r="D922" s="157"/>
      <c r="E922" s="157"/>
      <c r="F922" s="157"/>
    </row>
    <row r="923" spans="1:6" ht="15.75" x14ac:dyDescent="0.25">
      <c r="A923" s="157"/>
      <c r="B923" s="157"/>
      <c r="C923" s="157"/>
      <c r="D923" s="157"/>
      <c r="E923" s="157"/>
      <c r="F923" s="157"/>
    </row>
    <row r="924" spans="1:6" ht="15.75" x14ac:dyDescent="0.25">
      <c r="A924" s="157"/>
      <c r="B924" s="157"/>
      <c r="C924" s="157"/>
      <c r="D924" s="157"/>
      <c r="E924" s="157"/>
      <c r="F924" s="157"/>
    </row>
    <row r="925" spans="1:6" ht="15.75" x14ac:dyDescent="0.25">
      <c r="A925" s="157"/>
      <c r="B925" s="157"/>
      <c r="C925" s="157"/>
      <c r="D925" s="157"/>
      <c r="E925" s="157"/>
      <c r="F925" s="157"/>
    </row>
    <row r="926" spans="1:6" ht="15.75" x14ac:dyDescent="0.25">
      <c r="A926" s="157"/>
      <c r="B926" s="157"/>
      <c r="C926" s="157"/>
      <c r="D926" s="157"/>
      <c r="E926" s="157"/>
      <c r="F926" s="157"/>
    </row>
    <row r="927" spans="1:6" ht="15.75" x14ac:dyDescent="0.25">
      <c r="A927" s="157"/>
      <c r="B927" s="157"/>
      <c r="C927" s="157"/>
      <c r="D927" s="157"/>
      <c r="E927" s="157"/>
      <c r="F927" s="157"/>
    </row>
    <row r="928" spans="1:6" ht="15.75" x14ac:dyDescent="0.25">
      <c r="A928" s="157"/>
      <c r="B928" s="157"/>
      <c r="C928" s="157"/>
      <c r="D928" s="157"/>
      <c r="E928" s="157"/>
      <c r="F928" s="157"/>
    </row>
    <row r="929" spans="1:6" ht="15.75" x14ac:dyDescent="0.25">
      <c r="A929" s="157"/>
      <c r="B929" s="157"/>
      <c r="C929" s="157"/>
      <c r="D929" s="157"/>
      <c r="E929" s="157"/>
      <c r="F929" s="157"/>
    </row>
    <row r="930" spans="1:6" ht="15.75" x14ac:dyDescent="0.25">
      <c r="A930" s="157"/>
      <c r="B930" s="157"/>
      <c r="C930" s="157"/>
      <c r="D930" s="157"/>
      <c r="E930" s="157"/>
      <c r="F930" s="157"/>
    </row>
    <row r="931" spans="1:6" ht="15.75" x14ac:dyDescent="0.25">
      <c r="A931" s="157"/>
      <c r="B931" s="157"/>
      <c r="C931" s="157"/>
      <c r="D931" s="157"/>
      <c r="E931" s="157"/>
      <c r="F931" s="157"/>
    </row>
    <row r="932" spans="1:6" ht="15.75" x14ac:dyDescent="0.25">
      <c r="A932" s="157"/>
      <c r="B932" s="157"/>
      <c r="C932" s="157"/>
      <c r="D932" s="157"/>
      <c r="E932" s="157"/>
      <c r="F932" s="157"/>
    </row>
    <row r="933" spans="1:6" ht="15.75" x14ac:dyDescent="0.25">
      <c r="A933" s="157"/>
      <c r="B933" s="157"/>
      <c r="C933" s="157"/>
      <c r="D933" s="157"/>
      <c r="E933" s="157"/>
      <c r="F933" s="157"/>
    </row>
    <row r="934" spans="1:6" ht="15.75" x14ac:dyDescent="0.25">
      <c r="A934" s="157"/>
      <c r="B934" s="157"/>
      <c r="C934" s="157"/>
      <c r="D934" s="157"/>
      <c r="E934" s="157"/>
      <c r="F934" s="157"/>
    </row>
    <row r="935" spans="1:6" ht="15.75" x14ac:dyDescent="0.25">
      <c r="A935" s="157"/>
      <c r="B935" s="157"/>
      <c r="C935" s="157"/>
      <c r="D935" s="157"/>
      <c r="E935" s="157"/>
      <c r="F935" s="157"/>
    </row>
    <row r="936" spans="1:6" ht="15.75" x14ac:dyDescent="0.25">
      <c r="A936" s="157"/>
      <c r="B936" s="157"/>
      <c r="C936" s="157"/>
      <c r="D936" s="157"/>
      <c r="E936" s="157"/>
      <c r="F936" s="157"/>
    </row>
    <row r="937" spans="1:6" ht="15.75" x14ac:dyDescent="0.25">
      <c r="A937" s="157"/>
      <c r="B937" s="157"/>
      <c r="C937" s="157"/>
      <c r="D937" s="157"/>
      <c r="E937" s="157"/>
      <c r="F937" s="157"/>
    </row>
    <row r="938" spans="1:6" ht="15.75" x14ac:dyDescent="0.25">
      <c r="A938" s="157"/>
      <c r="B938" s="157"/>
      <c r="C938" s="157"/>
      <c r="D938" s="157"/>
      <c r="E938" s="157"/>
      <c r="F938" s="157"/>
    </row>
    <row r="939" spans="1:6" ht="15.75" x14ac:dyDescent="0.25">
      <c r="A939" s="157"/>
      <c r="B939" s="157"/>
      <c r="C939" s="157"/>
      <c r="D939" s="157"/>
      <c r="E939" s="157"/>
      <c r="F939" s="157"/>
    </row>
    <row r="940" spans="1:6" ht="15.75" x14ac:dyDescent="0.25">
      <c r="A940" s="157"/>
      <c r="B940" s="157"/>
      <c r="C940" s="157"/>
      <c r="D940" s="157"/>
      <c r="E940" s="157"/>
      <c r="F940" s="157"/>
    </row>
    <row r="941" spans="1:6" ht="15.75" x14ac:dyDescent="0.25">
      <c r="A941" s="157"/>
      <c r="B941" s="157"/>
      <c r="C941" s="157"/>
      <c r="D941" s="157"/>
      <c r="E941" s="157"/>
      <c r="F941" s="157"/>
    </row>
    <row r="942" spans="1:6" ht="15.75" x14ac:dyDescent="0.25">
      <c r="A942" s="157"/>
      <c r="B942" s="157"/>
      <c r="C942" s="157"/>
      <c r="D942" s="157"/>
      <c r="E942" s="157"/>
      <c r="F942" s="157"/>
    </row>
    <row r="943" spans="1:6" ht="15.75" x14ac:dyDescent="0.25">
      <c r="A943" s="157"/>
      <c r="B943" s="157"/>
      <c r="C943" s="157"/>
      <c r="D943" s="157"/>
      <c r="E943" s="157"/>
      <c r="F943" s="157"/>
    </row>
    <row r="944" spans="1:6" ht="15.75" x14ac:dyDescent="0.25">
      <c r="A944" s="157"/>
      <c r="B944" s="157"/>
      <c r="C944" s="157"/>
      <c r="D944" s="157"/>
      <c r="E944" s="157"/>
      <c r="F944" s="157"/>
    </row>
    <row r="945" spans="1:6" ht="15.75" x14ac:dyDescent="0.25">
      <c r="A945" s="157"/>
      <c r="B945" s="157"/>
      <c r="C945" s="157"/>
      <c r="D945" s="157"/>
      <c r="E945" s="157"/>
      <c r="F945" s="157"/>
    </row>
    <row r="946" spans="1:6" ht="15.75" x14ac:dyDescent="0.25">
      <c r="A946" s="157"/>
      <c r="B946" s="157"/>
      <c r="C946" s="157"/>
      <c r="D946" s="157"/>
      <c r="E946" s="157"/>
      <c r="F946" s="157"/>
    </row>
    <row r="947" spans="1:6" ht="15.75" x14ac:dyDescent="0.25">
      <c r="A947" s="157"/>
      <c r="B947" s="157"/>
      <c r="C947" s="157"/>
      <c r="D947" s="157"/>
      <c r="E947" s="157"/>
      <c r="F947" s="157"/>
    </row>
    <row r="948" spans="1:6" ht="15.75" x14ac:dyDescent="0.25">
      <c r="A948" s="157"/>
      <c r="B948" s="157"/>
      <c r="C948" s="157"/>
      <c r="D948" s="157"/>
      <c r="E948" s="157"/>
      <c r="F948" s="157"/>
    </row>
    <row r="949" spans="1:6" ht="15.75" x14ac:dyDescent="0.25">
      <c r="A949" s="157"/>
      <c r="B949" s="157"/>
      <c r="C949" s="157"/>
      <c r="D949" s="157"/>
      <c r="E949" s="157"/>
      <c r="F949" s="157"/>
    </row>
    <row r="950" spans="1:6" ht="15.75" x14ac:dyDescent="0.25">
      <c r="A950" s="157"/>
      <c r="B950" s="157"/>
      <c r="C950" s="157"/>
      <c r="D950" s="157"/>
      <c r="E950" s="157"/>
      <c r="F950" s="157"/>
    </row>
    <row r="951" spans="1:6" ht="15.75" x14ac:dyDescent="0.25">
      <c r="A951" s="157"/>
      <c r="B951" s="157"/>
      <c r="C951" s="157"/>
      <c r="D951" s="157"/>
      <c r="E951" s="157"/>
      <c r="F951" s="157"/>
    </row>
    <row r="952" spans="1:6" ht="15.75" x14ac:dyDescent="0.25">
      <c r="A952" s="157"/>
      <c r="B952" s="157"/>
      <c r="C952" s="157"/>
      <c r="D952" s="157"/>
      <c r="E952" s="157"/>
      <c r="F952" s="157"/>
    </row>
    <row r="953" spans="1:6" ht="15.75" x14ac:dyDescent="0.25">
      <c r="A953" s="157"/>
      <c r="B953" s="157"/>
      <c r="C953" s="157"/>
      <c r="D953" s="157"/>
      <c r="E953" s="157"/>
      <c r="F953" s="157"/>
    </row>
    <row r="954" spans="1:6" ht="15.75" x14ac:dyDescent="0.25">
      <c r="A954" s="157"/>
      <c r="B954" s="157"/>
      <c r="C954" s="157"/>
      <c r="D954" s="157"/>
      <c r="E954" s="157"/>
      <c r="F954" s="157"/>
    </row>
    <row r="955" spans="1:6" ht="15.75" x14ac:dyDescent="0.25">
      <c r="A955" s="157"/>
      <c r="B955" s="157"/>
      <c r="C955" s="157"/>
      <c r="D955" s="157"/>
      <c r="E955" s="157"/>
      <c r="F955" s="157"/>
    </row>
    <row r="956" spans="1:6" ht="15.75" x14ac:dyDescent="0.25">
      <c r="A956" s="157"/>
      <c r="B956" s="157"/>
      <c r="C956" s="157"/>
      <c r="D956" s="157"/>
      <c r="E956" s="157"/>
      <c r="F956" s="157"/>
    </row>
    <row r="957" spans="1:6" ht="15.75" x14ac:dyDescent="0.25">
      <c r="A957" s="157"/>
      <c r="B957" s="157"/>
      <c r="C957" s="157"/>
      <c r="D957" s="157"/>
      <c r="E957" s="157"/>
      <c r="F957" s="157"/>
    </row>
    <row r="958" spans="1:6" ht="15.75" x14ac:dyDescent="0.25">
      <c r="A958" s="157"/>
      <c r="B958" s="157"/>
      <c r="C958" s="157"/>
      <c r="D958" s="157"/>
      <c r="E958" s="157"/>
      <c r="F958" s="157"/>
    </row>
    <row r="959" spans="1:6" ht="15.75" x14ac:dyDescent="0.25">
      <c r="A959" s="157"/>
      <c r="B959" s="157"/>
      <c r="C959" s="157"/>
      <c r="D959" s="157"/>
      <c r="E959" s="157"/>
      <c r="F959" s="157"/>
    </row>
    <row r="960" spans="1:6" ht="15.75" x14ac:dyDescent="0.25">
      <c r="A960" s="157"/>
      <c r="B960" s="157"/>
      <c r="C960" s="157"/>
      <c r="D960" s="157"/>
      <c r="E960" s="157"/>
      <c r="F960" s="157"/>
    </row>
    <row r="961" spans="1:6" ht="15.75" x14ac:dyDescent="0.25">
      <c r="A961" s="157"/>
      <c r="B961" s="157"/>
      <c r="C961" s="157"/>
      <c r="D961" s="157"/>
      <c r="E961" s="157"/>
      <c r="F961" s="157"/>
    </row>
    <row r="962" spans="1:6" ht="15.75" x14ac:dyDescent="0.25">
      <c r="A962" s="157"/>
      <c r="B962" s="157"/>
      <c r="C962" s="157"/>
      <c r="D962" s="157"/>
      <c r="E962" s="157"/>
      <c r="F962" s="157"/>
    </row>
    <row r="963" spans="1:6" ht="15.75" x14ac:dyDescent="0.25">
      <c r="A963" s="157"/>
      <c r="B963" s="157"/>
      <c r="C963" s="157"/>
      <c r="D963" s="157"/>
      <c r="E963" s="157"/>
      <c r="F963" s="157"/>
    </row>
    <row r="964" spans="1:6" ht="15.75" x14ac:dyDescent="0.25">
      <c r="A964" s="157"/>
      <c r="B964" s="157"/>
      <c r="C964" s="157"/>
      <c r="D964" s="157"/>
      <c r="E964" s="157"/>
      <c r="F964" s="157"/>
    </row>
    <row r="965" spans="1:6" ht="15.75" x14ac:dyDescent="0.25">
      <c r="A965" s="157"/>
      <c r="B965" s="157"/>
      <c r="C965" s="157"/>
      <c r="D965" s="157"/>
      <c r="E965" s="157"/>
      <c r="F965" s="157"/>
    </row>
    <row r="966" spans="1:6" ht="15.75" x14ac:dyDescent="0.25">
      <c r="A966" s="157"/>
      <c r="B966" s="157"/>
      <c r="C966" s="157"/>
      <c r="D966" s="157"/>
      <c r="E966" s="157"/>
      <c r="F966" s="157"/>
    </row>
    <row r="967" spans="1:6" ht="15.75" x14ac:dyDescent="0.25">
      <c r="A967" s="157"/>
      <c r="B967" s="157"/>
      <c r="C967" s="157"/>
      <c r="D967" s="157"/>
      <c r="E967" s="157"/>
      <c r="F967" s="157"/>
    </row>
    <row r="968" spans="1:6" ht="15.75" x14ac:dyDescent="0.25">
      <c r="A968" s="157"/>
      <c r="B968" s="157"/>
      <c r="C968" s="157"/>
      <c r="D968" s="157"/>
      <c r="E968" s="157"/>
      <c r="F968" s="157"/>
    </row>
    <row r="969" spans="1:6" ht="15.75" x14ac:dyDescent="0.25">
      <c r="A969" s="157"/>
      <c r="B969" s="157"/>
      <c r="C969" s="157"/>
      <c r="D969" s="157"/>
      <c r="E969" s="157"/>
      <c r="F969" s="157"/>
    </row>
    <row r="970" spans="1:6" ht="15.75" x14ac:dyDescent="0.25">
      <c r="A970" s="157"/>
      <c r="B970" s="157"/>
      <c r="C970" s="157"/>
      <c r="D970" s="157"/>
      <c r="E970" s="157"/>
      <c r="F970" s="157"/>
    </row>
    <row r="971" spans="1:6" ht="15.75" x14ac:dyDescent="0.25">
      <c r="A971" s="157"/>
      <c r="B971" s="157"/>
      <c r="C971" s="157"/>
      <c r="D971" s="157"/>
      <c r="E971" s="157"/>
      <c r="F971" s="157"/>
    </row>
    <row r="972" spans="1:6" ht="15.75" x14ac:dyDescent="0.25">
      <c r="A972" s="157"/>
      <c r="B972" s="157"/>
      <c r="C972" s="157"/>
      <c r="D972" s="157"/>
      <c r="E972" s="157"/>
      <c r="F972" s="157"/>
    </row>
    <row r="973" spans="1:6" ht="15.75" x14ac:dyDescent="0.25">
      <c r="A973" s="157"/>
      <c r="B973" s="157"/>
      <c r="C973" s="157"/>
      <c r="D973" s="157"/>
      <c r="E973" s="157"/>
      <c r="F973" s="157"/>
    </row>
    <row r="974" spans="1:6" ht="15.75" x14ac:dyDescent="0.25">
      <c r="A974" s="157"/>
      <c r="B974" s="157"/>
      <c r="C974" s="157"/>
      <c r="D974" s="157"/>
      <c r="E974" s="157"/>
      <c r="F974" s="157"/>
    </row>
    <row r="975" spans="1:6" ht="15.75" x14ac:dyDescent="0.25">
      <c r="A975" s="157"/>
      <c r="B975" s="157"/>
      <c r="C975" s="157"/>
      <c r="D975" s="157"/>
      <c r="E975" s="157"/>
      <c r="F975" s="157"/>
    </row>
    <row r="976" spans="1:6" ht="15.75" x14ac:dyDescent="0.25">
      <c r="A976" s="157"/>
      <c r="B976" s="157"/>
      <c r="C976" s="157"/>
      <c r="D976" s="157"/>
      <c r="E976" s="157"/>
      <c r="F976" s="157"/>
    </row>
    <row r="977" spans="1:6" ht="15.75" x14ac:dyDescent="0.25">
      <c r="A977" s="157"/>
      <c r="B977" s="157"/>
      <c r="C977" s="157"/>
      <c r="D977" s="157"/>
      <c r="E977" s="157"/>
      <c r="F977" s="157"/>
    </row>
    <row r="978" spans="1:6" ht="15.75" x14ac:dyDescent="0.25">
      <c r="A978" s="157"/>
      <c r="B978" s="157"/>
      <c r="C978" s="157"/>
      <c r="D978" s="157"/>
      <c r="E978" s="157"/>
      <c r="F978" s="157"/>
    </row>
    <row r="979" spans="1:6" ht="15.75" x14ac:dyDescent="0.25">
      <c r="A979" s="157"/>
      <c r="B979" s="157"/>
      <c r="C979" s="157"/>
      <c r="D979" s="157"/>
      <c r="E979" s="157"/>
      <c r="F979" s="157"/>
    </row>
    <row r="980" spans="1:6" ht="15.75" x14ac:dyDescent="0.25">
      <c r="A980" s="157"/>
      <c r="B980" s="157"/>
      <c r="C980" s="157"/>
      <c r="D980" s="157"/>
      <c r="E980" s="157"/>
      <c r="F980" s="157"/>
    </row>
    <row r="981" spans="1:6" ht="15.75" x14ac:dyDescent="0.25">
      <c r="A981" s="157"/>
      <c r="B981" s="157"/>
      <c r="C981" s="157"/>
      <c r="D981" s="157"/>
      <c r="E981" s="157"/>
      <c r="F981" s="157"/>
    </row>
    <row r="982" spans="1:6" ht="15.75" x14ac:dyDescent="0.25">
      <c r="A982" s="157"/>
      <c r="B982" s="157"/>
      <c r="C982" s="157"/>
      <c r="D982" s="157"/>
      <c r="E982" s="157"/>
      <c r="F982" s="157"/>
    </row>
    <row r="983" spans="1:6" ht="15.75" x14ac:dyDescent="0.25">
      <c r="A983" s="157"/>
      <c r="B983" s="157"/>
      <c r="C983" s="157"/>
      <c r="D983" s="157"/>
      <c r="E983" s="157"/>
      <c r="F983" s="157"/>
    </row>
    <row r="984" spans="1:6" ht="15.75" x14ac:dyDescent="0.25">
      <c r="A984" s="157"/>
      <c r="B984" s="157"/>
      <c r="C984" s="157"/>
      <c r="D984" s="157"/>
      <c r="E984" s="157"/>
      <c r="F984" s="157"/>
    </row>
    <row r="985" spans="1:6" ht="15.75" x14ac:dyDescent="0.25">
      <c r="A985" s="157"/>
      <c r="B985" s="157"/>
      <c r="C985" s="157"/>
      <c r="D985" s="157"/>
      <c r="E985" s="157"/>
      <c r="F985" s="157"/>
    </row>
    <row r="986" spans="1:6" ht="15.75" x14ac:dyDescent="0.25">
      <c r="A986" s="157"/>
      <c r="B986" s="157"/>
      <c r="C986" s="157"/>
      <c r="D986" s="157"/>
      <c r="E986" s="157"/>
      <c r="F986" s="157"/>
    </row>
    <row r="987" spans="1:6" ht="15.75" x14ac:dyDescent="0.25">
      <c r="A987" s="157"/>
      <c r="B987" s="157"/>
      <c r="C987" s="157"/>
      <c r="D987" s="157"/>
      <c r="E987" s="157"/>
      <c r="F987" s="157"/>
    </row>
    <row r="988" spans="1:6" ht="15.75" x14ac:dyDescent="0.25">
      <c r="A988" s="157"/>
      <c r="B988" s="157"/>
      <c r="C988" s="157"/>
      <c r="D988" s="157"/>
      <c r="E988" s="157"/>
      <c r="F988" s="157"/>
    </row>
    <row r="989" spans="1:6" ht="15.75" x14ac:dyDescent="0.25">
      <c r="A989" s="157"/>
      <c r="B989" s="157"/>
      <c r="C989" s="157"/>
      <c r="D989" s="157"/>
      <c r="E989" s="157"/>
      <c r="F989" s="157"/>
    </row>
    <row r="990" spans="1:6" ht="15.75" x14ac:dyDescent="0.25">
      <c r="A990" s="157"/>
      <c r="B990" s="157"/>
      <c r="C990" s="157"/>
      <c r="D990" s="157"/>
      <c r="E990" s="157"/>
      <c r="F990" s="157"/>
    </row>
    <row r="991" spans="1:6" ht="15.75" x14ac:dyDescent="0.25">
      <c r="A991" s="157"/>
      <c r="B991" s="157"/>
      <c r="C991" s="157"/>
      <c r="D991" s="157"/>
      <c r="E991" s="157"/>
      <c r="F991" s="157"/>
    </row>
    <row r="992" spans="1:6" ht="15.75" x14ac:dyDescent="0.25">
      <c r="A992" s="157"/>
      <c r="B992" s="157"/>
      <c r="C992" s="157"/>
      <c r="D992" s="157"/>
      <c r="E992" s="157"/>
      <c r="F992" s="157"/>
    </row>
    <row r="993" spans="1:6" ht="15.75" x14ac:dyDescent="0.25">
      <c r="A993" s="157"/>
      <c r="B993" s="157"/>
      <c r="C993" s="157"/>
      <c r="D993" s="157"/>
      <c r="E993" s="157"/>
      <c r="F993" s="157"/>
    </row>
    <row r="994" spans="1:6" ht="15.75" x14ac:dyDescent="0.25">
      <c r="A994" s="157"/>
      <c r="B994" s="157"/>
      <c r="C994" s="157"/>
      <c r="D994" s="157"/>
      <c r="E994" s="157"/>
      <c r="F994" s="157"/>
    </row>
    <row r="995" spans="1:6" ht="15.75" x14ac:dyDescent="0.25">
      <c r="A995" s="157"/>
      <c r="B995" s="157"/>
      <c r="C995" s="157"/>
      <c r="D995" s="157"/>
      <c r="E995" s="157"/>
      <c r="F995" s="157"/>
    </row>
    <row r="996" spans="1:6" ht="15.75" x14ac:dyDescent="0.25">
      <c r="A996" s="157"/>
      <c r="B996" s="157"/>
      <c r="C996" s="157"/>
      <c r="D996" s="157"/>
      <c r="E996" s="157"/>
      <c r="F996" s="157"/>
    </row>
    <row r="997" spans="1:6" ht="15.75" x14ac:dyDescent="0.25">
      <c r="A997" s="157"/>
      <c r="B997" s="157"/>
      <c r="C997" s="157"/>
      <c r="D997" s="157"/>
      <c r="E997" s="157"/>
      <c r="F997" s="157"/>
    </row>
    <row r="998" spans="1:6" ht="15.75" x14ac:dyDescent="0.25">
      <c r="A998" s="157"/>
      <c r="B998" s="157"/>
      <c r="C998" s="157"/>
      <c r="D998" s="157"/>
      <c r="E998" s="157"/>
      <c r="F998" s="157"/>
    </row>
    <row r="999" spans="1:6" ht="15.75" x14ac:dyDescent="0.25">
      <c r="A999" s="157"/>
      <c r="B999" s="157"/>
      <c r="C999" s="157"/>
      <c r="D999" s="157"/>
      <c r="E999" s="157"/>
      <c r="F999" s="157"/>
    </row>
    <row r="1000" spans="1:6" ht="15.75" x14ac:dyDescent="0.25">
      <c r="A1000" s="157"/>
      <c r="B1000" s="157"/>
      <c r="C1000" s="157"/>
      <c r="D1000" s="157"/>
      <c r="E1000" s="157"/>
      <c r="F1000" s="157"/>
    </row>
    <row r="1001" spans="1:6" ht="15.75" x14ac:dyDescent="0.25">
      <c r="A1001" s="157"/>
      <c r="B1001" s="157"/>
      <c r="C1001" s="157"/>
      <c r="D1001" s="157"/>
      <c r="E1001" s="157"/>
      <c r="F1001" s="157"/>
    </row>
    <row r="1002" spans="1:6" ht="15.75" x14ac:dyDescent="0.25">
      <c r="A1002" s="157"/>
      <c r="B1002" s="157"/>
      <c r="C1002" s="157"/>
      <c r="D1002" s="157"/>
      <c r="E1002" s="157"/>
      <c r="F1002" s="157"/>
    </row>
    <row r="1003" spans="1:6" ht="15.75" x14ac:dyDescent="0.25">
      <c r="A1003" s="157"/>
      <c r="B1003" s="157"/>
      <c r="C1003" s="157"/>
      <c r="D1003" s="157"/>
      <c r="E1003" s="157"/>
      <c r="F1003" s="157"/>
    </row>
    <row r="1004" spans="1:6" ht="15.75" x14ac:dyDescent="0.25">
      <c r="A1004" s="157"/>
      <c r="B1004" s="157"/>
      <c r="C1004" s="157"/>
      <c r="D1004" s="157"/>
      <c r="E1004" s="157"/>
      <c r="F1004" s="157"/>
    </row>
    <row r="1005" spans="1:6" ht="15.75" x14ac:dyDescent="0.25">
      <c r="A1005" s="157"/>
      <c r="B1005" s="157"/>
      <c r="C1005" s="157"/>
      <c r="D1005" s="157"/>
      <c r="E1005" s="157"/>
      <c r="F1005" s="157"/>
    </row>
    <row r="1006" spans="1:6" ht="15.75" x14ac:dyDescent="0.25">
      <c r="A1006" s="157"/>
      <c r="B1006" s="157"/>
      <c r="C1006" s="157"/>
      <c r="D1006" s="157"/>
      <c r="E1006" s="157"/>
      <c r="F1006" s="157"/>
    </row>
    <row r="1007" spans="1:6" ht="15.75" x14ac:dyDescent="0.25">
      <c r="A1007" s="157"/>
      <c r="B1007" s="157"/>
      <c r="C1007" s="157"/>
      <c r="D1007" s="157"/>
      <c r="E1007" s="157"/>
      <c r="F1007" s="157"/>
    </row>
    <row r="1008" spans="1:6" ht="15.75" x14ac:dyDescent="0.25">
      <c r="A1008" s="157"/>
      <c r="B1008" s="157"/>
      <c r="C1008" s="157"/>
      <c r="D1008" s="157"/>
      <c r="E1008" s="157"/>
      <c r="F1008" s="157"/>
    </row>
    <row r="1009" spans="1:6" ht="15.75" x14ac:dyDescent="0.25">
      <c r="A1009" s="157"/>
      <c r="B1009" s="157"/>
      <c r="C1009" s="157"/>
      <c r="D1009" s="157"/>
      <c r="E1009" s="157"/>
      <c r="F1009" s="157"/>
    </row>
    <row r="1010" spans="1:6" ht="15.75" x14ac:dyDescent="0.25">
      <c r="A1010" s="157"/>
      <c r="B1010" s="157"/>
      <c r="C1010" s="157"/>
      <c r="D1010" s="157"/>
      <c r="E1010" s="157"/>
      <c r="F1010" s="157"/>
    </row>
    <row r="1011" spans="1:6" ht="15.75" x14ac:dyDescent="0.25">
      <c r="A1011" s="157"/>
      <c r="B1011" s="157"/>
      <c r="C1011" s="157"/>
      <c r="D1011" s="157"/>
      <c r="E1011" s="157"/>
      <c r="F1011" s="157"/>
    </row>
    <row r="1012" spans="1:6" ht="15.75" x14ac:dyDescent="0.25">
      <c r="A1012" s="157"/>
      <c r="B1012" s="157"/>
      <c r="C1012" s="157"/>
      <c r="D1012" s="157"/>
      <c r="E1012" s="157"/>
      <c r="F1012" s="157"/>
    </row>
    <row r="1013" spans="1:6" ht="15.75" x14ac:dyDescent="0.25">
      <c r="A1013" s="157"/>
      <c r="B1013" s="157"/>
      <c r="C1013" s="157"/>
      <c r="D1013" s="157"/>
      <c r="E1013" s="157"/>
      <c r="F1013" s="157"/>
    </row>
    <row r="1014" spans="1:6" ht="15.75" x14ac:dyDescent="0.25">
      <c r="A1014" s="157"/>
      <c r="B1014" s="157"/>
      <c r="C1014" s="157"/>
      <c r="D1014" s="157"/>
      <c r="E1014" s="157"/>
      <c r="F1014" s="157"/>
    </row>
    <row r="1015" spans="1:6" ht="15.75" x14ac:dyDescent="0.25">
      <c r="A1015" s="157"/>
      <c r="B1015" s="157"/>
      <c r="C1015" s="157"/>
      <c r="D1015" s="157"/>
      <c r="E1015" s="157"/>
      <c r="F1015" s="157"/>
    </row>
    <row r="1016" spans="1:6" ht="15.75" x14ac:dyDescent="0.25">
      <c r="A1016" s="157"/>
      <c r="B1016" s="157"/>
      <c r="C1016" s="157"/>
      <c r="D1016" s="157"/>
      <c r="E1016" s="157"/>
      <c r="F1016" s="157"/>
    </row>
    <row r="1017" spans="1:6" ht="15.75" x14ac:dyDescent="0.25">
      <c r="A1017" s="157"/>
      <c r="B1017" s="157"/>
      <c r="C1017" s="157"/>
      <c r="D1017" s="157"/>
      <c r="E1017" s="157"/>
      <c r="F1017" s="157"/>
    </row>
    <row r="1018" spans="1:6" ht="15.75" x14ac:dyDescent="0.25">
      <c r="A1018" s="157"/>
      <c r="B1018" s="157"/>
      <c r="C1018" s="157"/>
      <c r="D1018" s="157"/>
      <c r="E1018" s="157"/>
      <c r="F1018" s="157"/>
    </row>
    <row r="1019" spans="1:6" ht="15.75" x14ac:dyDescent="0.25">
      <c r="A1019" s="157"/>
      <c r="B1019" s="157"/>
      <c r="C1019" s="157"/>
      <c r="D1019" s="157"/>
      <c r="E1019" s="157"/>
      <c r="F1019" s="157"/>
    </row>
    <row r="1020" spans="1:6" ht="15.75" x14ac:dyDescent="0.25">
      <c r="A1020" s="157"/>
      <c r="B1020" s="157"/>
      <c r="C1020" s="157"/>
      <c r="D1020" s="157"/>
      <c r="E1020" s="157"/>
      <c r="F1020" s="157"/>
    </row>
    <row r="1021" spans="1:6" ht="15.75" x14ac:dyDescent="0.25">
      <c r="A1021" s="157"/>
      <c r="B1021" s="157"/>
      <c r="C1021" s="157"/>
      <c r="D1021" s="157"/>
      <c r="E1021" s="157"/>
      <c r="F1021" s="157"/>
    </row>
    <row r="1022" spans="1:6" ht="15.75" x14ac:dyDescent="0.25">
      <c r="A1022" s="157"/>
      <c r="B1022" s="157"/>
      <c r="C1022" s="157"/>
      <c r="D1022" s="157"/>
      <c r="E1022" s="157"/>
      <c r="F1022" s="157"/>
    </row>
    <row r="1023" spans="1:6" ht="15.75" x14ac:dyDescent="0.25">
      <c r="A1023" s="157"/>
      <c r="B1023" s="157"/>
      <c r="C1023" s="157"/>
      <c r="D1023" s="157"/>
      <c r="E1023" s="157"/>
      <c r="F1023" s="157"/>
    </row>
    <row r="1024" spans="1:6" ht="15.75" x14ac:dyDescent="0.25">
      <c r="A1024" s="157"/>
      <c r="B1024" s="157"/>
      <c r="C1024" s="157"/>
      <c r="D1024" s="157"/>
      <c r="E1024" s="157"/>
      <c r="F1024" s="157"/>
    </row>
    <row r="1025" spans="1:6" ht="15.75" x14ac:dyDescent="0.25">
      <c r="A1025" s="157"/>
      <c r="B1025" s="157"/>
      <c r="C1025" s="157"/>
      <c r="D1025" s="157"/>
      <c r="E1025" s="157"/>
      <c r="F1025" s="157"/>
    </row>
    <row r="1026" spans="1:6" ht="15.75" x14ac:dyDescent="0.25">
      <c r="A1026" s="157"/>
      <c r="B1026" s="157"/>
      <c r="C1026" s="157"/>
      <c r="D1026" s="157"/>
      <c r="E1026" s="157"/>
      <c r="F1026" s="157"/>
    </row>
    <row r="1027" spans="1:6" ht="15.75" x14ac:dyDescent="0.25">
      <c r="A1027" s="157"/>
      <c r="B1027" s="157"/>
      <c r="C1027" s="157"/>
      <c r="D1027" s="157"/>
      <c r="E1027" s="157"/>
      <c r="F1027" s="157"/>
    </row>
    <row r="1028" spans="1:6" ht="15.75" x14ac:dyDescent="0.25">
      <c r="A1028" s="157"/>
      <c r="B1028" s="157"/>
      <c r="C1028" s="157"/>
      <c r="D1028" s="157"/>
      <c r="E1028" s="157"/>
      <c r="F1028" s="157"/>
    </row>
    <row r="1029" spans="1:6" ht="15.75" x14ac:dyDescent="0.25">
      <c r="A1029" s="157"/>
      <c r="B1029" s="157"/>
      <c r="C1029" s="157"/>
      <c r="D1029" s="157"/>
      <c r="E1029" s="157"/>
      <c r="F1029" s="157"/>
    </row>
    <row r="1030" spans="1:6" ht="15.75" x14ac:dyDescent="0.25">
      <c r="A1030" s="157"/>
      <c r="B1030" s="157"/>
      <c r="C1030" s="157"/>
      <c r="D1030" s="157"/>
      <c r="E1030" s="157"/>
      <c r="F1030" s="157"/>
    </row>
    <row r="1031" spans="1:6" ht="15.75" x14ac:dyDescent="0.25">
      <c r="A1031" s="157"/>
      <c r="B1031" s="157"/>
      <c r="C1031" s="157"/>
      <c r="D1031" s="157"/>
      <c r="E1031" s="157"/>
      <c r="F1031" s="157"/>
    </row>
    <row r="1032" spans="1:6" ht="15.75" x14ac:dyDescent="0.25">
      <c r="A1032" s="157"/>
      <c r="B1032" s="157"/>
      <c r="C1032" s="157"/>
      <c r="D1032" s="157"/>
      <c r="E1032" s="157"/>
      <c r="F1032" s="157"/>
    </row>
    <row r="1033" spans="1:6" ht="15.75" x14ac:dyDescent="0.25">
      <c r="A1033" s="157"/>
      <c r="B1033" s="157"/>
      <c r="C1033" s="157"/>
      <c r="D1033" s="157"/>
      <c r="E1033" s="157"/>
      <c r="F1033" s="157"/>
    </row>
    <row r="1034" spans="1:6" ht="15.75" x14ac:dyDescent="0.25">
      <c r="A1034" s="157"/>
      <c r="B1034" s="157"/>
      <c r="C1034" s="157"/>
      <c r="D1034" s="157"/>
      <c r="E1034" s="157"/>
      <c r="F1034" s="157"/>
    </row>
    <row r="1035" spans="1:6" ht="15.75" x14ac:dyDescent="0.25">
      <c r="A1035" s="157"/>
      <c r="B1035" s="157"/>
      <c r="C1035" s="157"/>
      <c r="D1035" s="157"/>
      <c r="E1035" s="157"/>
      <c r="F1035" s="157"/>
    </row>
    <row r="1036" spans="1:6" ht="15.75" x14ac:dyDescent="0.25">
      <c r="A1036" s="157"/>
      <c r="B1036" s="157"/>
      <c r="C1036" s="157"/>
      <c r="D1036" s="157"/>
      <c r="E1036" s="157"/>
      <c r="F1036" s="157"/>
    </row>
    <row r="1037" spans="1:6" ht="15.75" x14ac:dyDescent="0.25">
      <c r="A1037" s="157"/>
      <c r="B1037" s="157"/>
      <c r="C1037" s="157"/>
      <c r="D1037" s="157"/>
      <c r="E1037" s="157"/>
      <c r="F1037" s="157"/>
    </row>
    <row r="1038" spans="1:6" ht="15.75" x14ac:dyDescent="0.25">
      <c r="A1038" s="157"/>
      <c r="B1038" s="157"/>
      <c r="C1038" s="157"/>
      <c r="D1038" s="157"/>
      <c r="E1038" s="157"/>
      <c r="F1038" s="157"/>
    </row>
    <row r="1039" spans="1:6" ht="15.75" x14ac:dyDescent="0.25">
      <c r="A1039" s="157"/>
      <c r="B1039" s="157"/>
      <c r="C1039" s="157"/>
      <c r="D1039" s="157"/>
      <c r="E1039" s="157"/>
      <c r="F1039" s="157"/>
    </row>
    <row r="1040" spans="1:6" ht="15.75" x14ac:dyDescent="0.25">
      <c r="A1040" s="157"/>
      <c r="B1040" s="157"/>
      <c r="C1040" s="157"/>
      <c r="D1040" s="157"/>
      <c r="E1040" s="157"/>
      <c r="F1040" s="157"/>
    </row>
    <row r="1041" spans="1:6" ht="15.75" x14ac:dyDescent="0.25">
      <c r="A1041" s="157"/>
      <c r="B1041" s="157"/>
      <c r="C1041" s="157"/>
      <c r="D1041" s="157"/>
      <c r="E1041" s="157"/>
      <c r="F1041" s="157"/>
    </row>
    <row r="1042" spans="1:6" ht="15.75" x14ac:dyDescent="0.25">
      <c r="A1042" s="157"/>
      <c r="B1042" s="157"/>
      <c r="C1042" s="157"/>
      <c r="D1042" s="157"/>
      <c r="E1042" s="157"/>
      <c r="F1042" s="157"/>
    </row>
    <row r="1043" spans="1:6" ht="15.75" x14ac:dyDescent="0.25">
      <c r="A1043" s="157"/>
      <c r="B1043" s="157"/>
      <c r="C1043" s="157"/>
      <c r="D1043" s="157"/>
      <c r="E1043" s="157"/>
      <c r="F1043" s="157"/>
    </row>
    <row r="1044" spans="1:6" ht="15.75" x14ac:dyDescent="0.25">
      <c r="A1044" s="157"/>
      <c r="B1044" s="157"/>
      <c r="C1044" s="157"/>
      <c r="D1044" s="157"/>
      <c r="E1044" s="157"/>
      <c r="F1044" s="157"/>
    </row>
    <row r="1045" spans="1:6" ht="15.75" x14ac:dyDescent="0.25">
      <c r="A1045" s="157"/>
      <c r="B1045" s="157"/>
      <c r="C1045" s="157"/>
      <c r="D1045" s="157"/>
      <c r="E1045" s="157"/>
      <c r="F1045" s="157"/>
    </row>
    <row r="1046" spans="1:6" ht="15.75" x14ac:dyDescent="0.25">
      <c r="A1046" s="157"/>
      <c r="B1046" s="157"/>
      <c r="C1046" s="157"/>
      <c r="D1046" s="157"/>
      <c r="E1046" s="157"/>
      <c r="F1046" s="157"/>
    </row>
    <row r="1047" spans="1:6" ht="15.75" x14ac:dyDescent="0.25">
      <c r="A1047" s="157"/>
      <c r="B1047" s="157"/>
      <c r="C1047" s="157"/>
      <c r="D1047" s="157"/>
      <c r="E1047" s="157"/>
      <c r="F1047" s="157"/>
    </row>
    <row r="1048" spans="1:6" ht="15.75" x14ac:dyDescent="0.25">
      <c r="A1048" s="157"/>
      <c r="B1048" s="157"/>
      <c r="C1048" s="157"/>
      <c r="D1048" s="157"/>
      <c r="E1048" s="157"/>
      <c r="F1048" s="157"/>
    </row>
    <row r="1049" spans="1:6" ht="15.75" x14ac:dyDescent="0.25">
      <c r="A1049" s="157"/>
      <c r="B1049" s="157"/>
      <c r="C1049" s="157"/>
      <c r="D1049" s="157"/>
      <c r="E1049" s="157"/>
      <c r="F1049" s="157"/>
    </row>
    <row r="1050" spans="1:6" ht="15.75" x14ac:dyDescent="0.25">
      <c r="A1050" s="157"/>
      <c r="B1050" s="157"/>
      <c r="C1050" s="157"/>
      <c r="D1050" s="157"/>
      <c r="E1050" s="157"/>
      <c r="F1050" s="157"/>
    </row>
    <row r="1051" spans="1:6" ht="15.75" x14ac:dyDescent="0.25">
      <c r="A1051" s="157"/>
      <c r="B1051" s="157"/>
      <c r="C1051" s="157"/>
      <c r="D1051" s="157"/>
      <c r="E1051" s="157"/>
      <c r="F1051" s="157"/>
    </row>
    <row r="1052" spans="1:6" ht="15.75" x14ac:dyDescent="0.25">
      <c r="A1052" s="157"/>
      <c r="B1052" s="157"/>
      <c r="C1052" s="157"/>
      <c r="D1052" s="157"/>
      <c r="E1052" s="157"/>
      <c r="F1052" s="157"/>
    </row>
    <row r="1053" spans="1:6" ht="15.75" x14ac:dyDescent="0.25">
      <c r="A1053" s="157"/>
      <c r="B1053" s="157"/>
      <c r="C1053" s="157"/>
      <c r="D1053" s="157"/>
      <c r="E1053" s="157"/>
      <c r="F1053" s="157"/>
    </row>
    <row r="1054" spans="1:6" ht="15.75" x14ac:dyDescent="0.25">
      <c r="A1054" s="157"/>
      <c r="B1054" s="157"/>
      <c r="C1054" s="157"/>
      <c r="D1054" s="157"/>
      <c r="E1054" s="157"/>
      <c r="F1054" s="157"/>
    </row>
    <row r="1055" spans="1:6" ht="15.75" x14ac:dyDescent="0.25">
      <c r="A1055" s="157"/>
      <c r="B1055" s="157"/>
      <c r="C1055" s="157"/>
      <c r="D1055" s="157"/>
      <c r="E1055" s="157"/>
      <c r="F1055" s="157"/>
    </row>
    <row r="1056" spans="1:6" ht="15.75" x14ac:dyDescent="0.25">
      <c r="A1056" s="157"/>
      <c r="B1056" s="157"/>
      <c r="C1056" s="157"/>
      <c r="D1056" s="157"/>
      <c r="E1056" s="157"/>
      <c r="F1056" s="157"/>
    </row>
    <row r="1057" spans="1:6" ht="15.75" x14ac:dyDescent="0.25">
      <c r="A1057" s="157"/>
      <c r="B1057" s="157"/>
      <c r="C1057" s="157"/>
      <c r="D1057" s="157"/>
      <c r="E1057" s="157"/>
      <c r="F1057" s="157"/>
    </row>
    <row r="1058" spans="1:6" ht="15.75" x14ac:dyDescent="0.25">
      <c r="A1058" s="157"/>
      <c r="B1058" s="157"/>
      <c r="C1058" s="157"/>
      <c r="D1058" s="157"/>
      <c r="E1058" s="157"/>
      <c r="F1058" s="157"/>
    </row>
    <row r="1059" spans="1:6" ht="15.75" x14ac:dyDescent="0.25">
      <c r="A1059" s="157"/>
      <c r="B1059" s="157"/>
      <c r="C1059" s="157"/>
      <c r="D1059" s="157"/>
      <c r="E1059" s="157"/>
      <c r="F1059" s="157"/>
    </row>
    <row r="1060" spans="1:6" ht="15.75" x14ac:dyDescent="0.25">
      <c r="A1060" s="157"/>
      <c r="B1060" s="157"/>
      <c r="C1060" s="157"/>
      <c r="D1060" s="157"/>
      <c r="E1060" s="157"/>
      <c r="F1060" s="157"/>
    </row>
    <row r="1061" spans="1:6" ht="15.75" x14ac:dyDescent="0.25">
      <c r="A1061" s="157"/>
      <c r="B1061" s="157"/>
      <c r="C1061" s="157"/>
      <c r="D1061" s="157"/>
      <c r="E1061" s="157"/>
      <c r="F1061" s="157"/>
    </row>
    <row r="1062" spans="1:6" ht="15.75" x14ac:dyDescent="0.25">
      <c r="A1062" s="157"/>
      <c r="B1062" s="157"/>
      <c r="C1062" s="157"/>
      <c r="D1062" s="157"/>
      <c r="E1062" s="157"/>
      <c r="F1062" s="157"/>
    </row>
    <row r="1063" spans="1:6" ht="15.75" x14ac:dyDescent="0.25">
      <c r="A1063" s="157"/>
      <c r="B1063" s="157"/>
      <c r="C1063" s="157"/>
      <c r="D1063" s="157"/>
      <c r="E1063" s="157"/>
      <c r="F1063" s="157"/>
    </row>
    <row r="1064" spans="1:6" ht="15.75" x14ac:dyDescent="0.25">
      <c r="A1064" s="157"/>
      <c r="B1064" s="157"/>
      <c r="C1064" s="157"/>
      <c r="D1064" s="157"/>
      <c r="E1064" s="157"/>
      <c r="F1064" s="157"/>
    </row>
    <row r="1065" spans="1:6" ht="15.75" x14ac:dyDescent="0.25">
      <c r="A1065" s="157"/>
      <c r="B1065" s="157"/>
      <c r="C1065" s="157"/>
      <c r="D1065" s="157"/>
      <c r="E1065" s="157"/>
      <c r="F1065" s="157"/>
    </row>
    <row r="1066" spans="1:6" ht="15.75" x14ac:dyDescent="0.25">
      <c r="A1066" s="157"/>
      <c r="B1066" s="157"/>
      <c r="C1066" s="157"/>
      <c r="D1066" s="157"/>
      <c r="E1066" s="157"/>
      <c r="F1066" s="157"/>
    </row>
    <row r="1067" spans="1:6" ht="15.75" x14ac:dyDescent="0.25">
      <c r="A1067" s="157"/>
      <c r="B1067" s="157"/>
      <c r="C1067" s="157"/>
      <c r="D1067" s="157"/>
      <c r="E1067" s="157"/>
      <c r="F1067" s="157"/>
    </row>
    <row r="1068" spans="1:6" ht="15.75" x14ac:dyDescent="0.25">
      <c r="A1068" s="157"/>
      <c r="B1068" s="157"/>
      <c r="C1068" s="157"/>
      <c r="D1068" s="157"/>
      <c r="E1068" s="157"/>
      <c r="F1068" s="157"/>
    </row>
    <row r="1069" spans="1:6" ht="15.75" x14ac:dyDescent="0.25">
      <c r="A1069" s="157"/>
      <c r="B1069" s="157"/>
      <c r="C1069" s="157"/>
      <c r="D1069" s="157"/>
      <c r="E1069" s="157"/>
      <c r="F1069" s="157"/>
    </row>
    <row r="1070" spans="1:6" ht="15.75" x14ac:dyDescent="0.25">
      <c r="A1070" s="157"/>
      <c r="B1070" s="157"/>
      <c r="C1070" s="157"/>
      <c r="D1070" s="157"/>
      <c r="E1070" s="157"/>
      <c r="F1070" s="157"/>
    </row>
    <row r="1071" spans="1:6" ht="15.75" x14ac:dyDescent="0.25">
      <c r="A1071" s="157"/>
      <c r="B1071" s="157"/>
      <c r="C1071" s="157"/>
      <c r="D1071" s="157"/>
      <c r="E1071" s="157"/>
      <c r="F1071" s="157"/>
    </row>
    <row r="1072" spans="1:6" ht="15.75" x14ac:dyDescent="0.25">
      <c r="A1072" s="157"/>
      <c r="B1072" s="157"/>
      <c r="C1072" s="157"/>
      <c r="D1072" s="157"/>
      <c r="E1072" s="157"/>
      <c r="F1072" s="157"/>
    </row>
    <row r="1073" spans="1:6" ht="15.75" x14ac:dyDescent="0.25">
      <c r="A1073" s="157"/>
      <c r="B1073" s="157"/>
      <c r="C1073" s="157"/>
      <c r="D1073" s="157"/>
      <c r="E1073" s="157"/>
      <c r="F1073" s="157"/>
    </row>
    <row r="1074" spans="1:6" ht="15.75" x14ac:dyDescent="0.25">
      <c r="A1074" s="157"/>
      <c r="B1074" s="157"/>
      <c r="C1074" s="157"/>
      <c r="D1074" s="157"/>
      <c r="E1074" s="157"/>
      <c r="F1074" s="157"/>
    </row>
    <row r="1075" spans="1:6" ht="15.75" x14ac:dyDescent="0.25">
      <c r="A1075" s="157"/>
      <c r="B1075" s="157"/>
      <c r="C1075" s="157"/>
      <c r="D1075" s="157"/>
      <c r="E1075" s="157"/>
      <c r="F1075" s="157"/>
    </row>
    <row r="1076" spans="1:6" ht="15.75" x14ac:dyDescent="0.25">
      <c r="A1076" s="157"/>
      <c r="B1076" s="157"/>
      <c r="C1076" s="157"/>
      <c r="D1076" s="157"/>
      <c r="E1076" s="157"/>
      <c r="F1076" s="157"/>
    </row>
    <row r="1077" spans="1:6" ht="15.75" x14ac:dyDescent="0.25">
      <c r="A1077" s="157"/>
      <c r="B1077" s="157"/>
      <c r="C1077" s="157"/>
      <c r="D1077" s="157"/>
      <c r="E1077" s="157"/>
      <c r="F1077" s="157"/>
    </row>
    <row r="1078" spans="1:6" ht="15.75" x14ac:dyDescent="0.25">
      <c r="A1078" s="157"/>
      <c r="B1078" s="157"/>
      <c r="C1078" s="157"/>
      <c r="D1078" s="157"/>
      <c r="E1078" s="157"/>
      <c r="F1078" s="157"/>
    </row>
    <row r="1079" spans="1:6" ht="15.75" x14ac:dyDescent="0.25">
      <c r="A1079" s="157"/>
      <c r="B1079" s="157"/>
      <c r="C1079" s="157"/>
      <c r="D1079" s="157"/>
      <c r="E1079" s="157"/>
      <c r="F1079" s="157"/>
    </row>
    <row r="1080" spans="1:6" ht="15.75" x14ac:dyDescent="0.25">
      <c r="A1080" s="157"/>
      <c r="B1080" s="157"/>
      <c r="C1080" s="157"/>
      <c r="D1080" s="157"/>
      <c r="E1080" s="157"/>
      <c r="F1080" s="157"/>
    </row>
    <row r="1081" spans="1:6" ht="15.75" x14ac:dyDescent="0.25">
      <c r="A1081" s="157"/>
      <c r="B1081" s="157"/>
      <c r="C1081" s="157"/>
      <c r="D1081" s="157"/>
      <c r="E1081" s="157"/>
      <c r="F1081" s="157"/>
    </row>
    <row r="1082" spans="1:6" ht="15.75" x14ac:dyDescent="0.25">
      <c r="A1082" s="157"/>
      <c r="B1082" s="157"/>
      <c r="C1082" s="157"/>
      <c r="D1082" s="157"/>
      <c r="E1082" s="157"/>
      <c r="F1082" s="157"/>
    </row>
    <row r="1083" spans="1:6" ht="15.75" x14ac:dyDescent="0.25">
      <c r="A1083" s="157"/>
      <c r="B1083" s="157"/>
      <c r="C1083" s="157"/>
      <c r="D1083" s="157"/>
      <c r="E1083" s="157"/>
      <c r="F1083" s="157"/>
    </row>
    <row r="1084" spans="1:6" ht="15.75" x14ac:dyDescent="0.25">
      <c r="A1084" s="157"/>
      <c r="B1084" s="157"/>
      <c r="C1084" s="157"/>
      <c r="D1084" s="157"/>
      <c r="E1084" s="157"/>
      <c r="F1084" s="157"/>
    </row>
    <row r="1085" spans="1:6" ht="15.75" x14ac:dyDescent="0.25">
      <c r="A1085" s="157"/>
      <c r="B1085" s="157"/>
      <c r="C1085" s="157"/>
      <c r="D1085" s="157"/>
      <c r="E1085" s="157"/>
      <c r="F1085" s="157"/>
    </row>
    <row r="1086" spans="1:6" ht="15.75" x14ac:dyDescent="0.25">
      <c r="A1086" s="157"/>
      <c r="B1086" s="157"/>
      <c r="C1086" s="157"/>
      <c r="D1086" s="157"/>
      <c r="E1086" s="157"/>
      <c r="F1086" s="157"/>
    </row>
    <row r="1087" spans="1:6" ht="15.75" x14ac:dyDescent="0.25">
      <c r="A1087" s="157"/>
      <c r="B1087" s="157"/>
      <c r="C1087" s="157"/>
      <c r="D1087" s="157"/>
      <c r="E1087" s="157"/>
      <c r="F1087" s="157"/>
    </row>
    <row r="1088" spans="1:6" ht="15.75" x14ac:dyDescent="0.25">
      <c r="A1088" s="157"/>
      <c r="B1088" s="157"/>
      <c r="C1088" s="157"/>
      <c r="D1088" s="157"/>
      <c r="E1088" s="157"/>
      <c r="F1088" s="157"/>
    </row>
    <row r="1089" spans="1:6" ht="15.75" x14ac:dyDescent="0.25">
      <c r="A1089" s="157"/>
      <c r="B1089" s="157"/>
      <c r="C1089" s="157"/>
      <c r="D1089" s="157"/>
      <c r="E1089" s="157"/>
      <c r="F1089" s="157"/>
    </row>
    <row r="1090" spans="1:6" ht="15.75" x14ac:dyDescent="0.25">
      <c r="A1090" s="157"/>
      <c r="B1090" s="157"/>
      <c r="C1090" s="157"/>
      <c r="D1090" s="157"/>
      <c r="E1090" s="157"/>
      <c r="F1090" s="157"/>
    </row>
    <row r="1091" spans="1:6" ht="15.75" x14ac:dyDescent="0.25">
      <c r="A1091" s="157"/>
      <c r="B1091" s="157"/>
      <c r="C1091" s="157"/>
      <c r="D1091" s="157"/>
      <c r="E1091" s="157"/>
      <c r="F1091" s="157"/>
    </row>
    <row r="1092" spans="1:6" ht="15.75" x14ac:dyDescent="0.25">
      <c r="A1092" s="157"/>
      <c r="B1092" s="157"/>
      <c r="C1092" s="157"/>
      <c r="D1092" s="157"/>
      <c r="E1092" s="157"/>
      <c r="F1092" s="157"/>
    </row>
    <row r="1093" spans="1:6" ht="15.75" x14ac:dyDescent="0.25">
      <c r="A1093" s="157"/>
      <c r="B1093" s="157"/>
      <c r="C1093" s="157"/>
      <c r="D1093" s="157"/>
      <c r="E1093" s="157"/>
      <c r="F1093" s="157"/>
    </row>
    <row r="1094" spans="1:6" ht="15.75" x14ac:dyDescent="0.25">
      <c r="A1094" s="157"/>
      <c r="B1094" s="157"/>
      <c r="C1094" s="157"/>
      <c r="D1094" s="157"/>
      <c r="E1094" s="157"/>
      <c r="F1094" s="157"/>
    </row>
    <row r="1095" spans="1:6" ht="15.75" x14ac:dyDescent="0.25">
      <c r="A1095" s="157"/>
      <c r="B1095" s="157"/>
      <c r="C1095" s="157"/>
      <c r="D1095" s="157"/>
      <c r="E1095" s="157"/>
      <c r="F1095" s="157"/>
    </row>
    <row r="1096" spans="1:6" ht="15.75" x14ac:dyDescent="0.25">
      <c r="A1096" s="157"/>
      <c r="B1096" s="157"/>
      <c r="C1096" s="157"/>
      <c r="D1096" s="157"/>
      <c r="E1096" s="157"/>
      <c r="F1096" s="157"/>
    </row>
    <row r="1097" spans="1:6" ht="15.75" x14ac:dyDescent="0.25">
      <c r="A1097" s="157"/>
      <c r="B1097" s="157"/>
      <c r="C1097" s="157"/>
      <c r="D1097" s="157"/>
      <c r="E1097" s="157"/>
      <c r="F1097" s="157"/>
    </row>
    <row r="1098" spans="1:6" ht="15.75" x14ac:dyDescent="0.25">
      <c r="A1098" s="157"/>
      <c r="B1098" s="157"/>
      <c r="C1098" s="157"/>
      <c r="D1098" s="157"/>
      <c r="E1098" s="157"/>
      <c r="F1098" s="157"/>
    </row>
    <row r="1099" spans="1:6" ht="15.75" x14ac:dyDescent="0.25">
      <c r="A1099" s="157"/>
      <c r="B1099" s="157"/>
      <c r="C1099" s="157"/>
      <c r="D1099" s="157"/>
      <c r="E1099" s="157"/>
      <c r="F1099" s="157"/>
    </row>
    <row r="1100" spans="1:6" ht="15.75" x14ac:dyDescent="0.25">
      <c r="A1100" s="157"/>
      <c r="B1100" s="157"/>
      <c r="C1100" s="157"/>
      <c r="D1100" s="157"/>
      <c r="E1100" s="157"/>
      <c r="F1100" s="157"/>
    </row>
    <row r="1101" spans="1:6" ht="15.75" x14ac:dyDescent="0.25">
      <c r="A1101" s="157"/>
      <c r="B1101" s="157"/>
      <c r="C1101" s="157"/>
      <c r="D1101" s="157"/>
      <c r="E1101" s="157"/>
      <c r="F1101" s="157"/>
    </row>
    <row r="1102" spans="1:6" ht="15.75" x14ac:dyDescent="0.25">
      <c r="A1102" s="157"/>
      <c r="B1102" s="157"/>
      <c r="C1102" s="157"/>
      <c r="D1102" s="157"/>
      <c r="E1102" s="157"/>
      <c r="F1102" s="157"/>
    </row>
    <row r="1103" spans="1:6" ht="15.75" x14ac:dyDescent="0.25">
      <c r="A1103" s="157"/>
      <c r="B1103" s="157"/>
      <c r="C1103" s="157"/>
      <c r="D1103" s="157"/>
      <c r="E1103" s="157"/>
      <c r="F1103" s="157"/>
    </row>
    <row r="1104" spans="1:6" ht="15.75" x14ac:dyDescent="0.25">
      <c r="A1104" s="157"/>
      <c r="B1104" s="157"/>
      <c r="C1104" s="157"/>
      <c r="D1104" s="157"/>
      <c r="E1104" s="157"/>
      <c r="F1104" s="157"/>
    </row>
    <row r="1105" spans="1:6" ht="15.75" x14ac:dyDescent="0.25">
      <c r="A1105" s="157"/>
      <c r="B1105" s="157"/>
      <c r="C1105" s="157"/>
      <c r="D1105" s="157"/>
      <c r="E1105" s="157"/>
      <c r="F1105" s="157"/>
    </row>
    <row r="1106" spans="1:6" ht="15.75" x14ac:dyDescent="0.25">
      <c r="A1106" s="157"/>
      <c r="B1106" s="157"/>
      <c r="C1106" s="157"/>
      <c r="D1106" s="157"/>
      <c r="E1106" s="157"/>
      <c r="F1106" s="157"/>
    </row>
    <row r="1107" spans="1:6" ht="15.75" x14ac:dyDescent="0.25">
      <c r="A1107" s="157"/>
      <c r="B1107" s="157"/>
      <c r="C1107" s="157"/>
      <c r="D1107" s="157"/>
      <c r="E1107" s="157"/>
      <c r="F1107" s="157"/>
    </row>
    <row r="1108" spans="1:6" ht="15.75" x14ac:dyDescent="0.25">
      <c r="A1108" s="157"/>
      <c r="B1108" s="157"/>
      <c r="C1108" s="157"/>
      <c r="D1108" s="157"/>
      <c r="E1108" s="157"/>
      <c r="F1108" s="157"/>
    </row>
    <row r="1109" spans="1:6" ht="15.75" x14ac:dyDescent="0.25">
      <c r="A1109" s="157"/>
      <c r="B1109" s="157"/>
      <c r="C1109" s="157"/>
      <c r="D1109" s="157"/>
      <c r="E1109" s="157"/>
      <c r="F1109" s="157"/>
    </row>
    <row r="1110" spans="1:6" ht="15.75" x14ac:dyDescent="0.25">
      <c r="A1110" s="157"/>
      <c r="B1110" s="157"/>
      <c r="C1110" s="157"/>
      <c r="D1110" s="157"/>
      <c r="E1110" s="157"/>
      <c r="F1110" s="157"/>
    </row>
    <row r="1111" spans="1:6" ht="15.75" x14ac:dyDescent="0.25">
      <c r="A1111" s="157"/>
      <c r="B1111" s="157"/>
      <c r="C1111" s="157"/>
      <c r="D1111" s="157"/>
      <c r="E1111" s="157"/>
      <c r="F1111" s="157"/>
    </row>
    <row r="1112" spans="1:6" ht="15.75" x14ac:dyDescent="0.25">
      <c r="A1112" s="157"/>
      <c r="B1112" s="157"/>
      <c r="C1112" s="157"/>
      <c r="D1112" s="157"/>
      <c r="E1112" s="157"/>
      <c r="F1112" s="157"/>
    </row>
    <row r="1113" spans="1:6" ht="15.75" x14ac:dyDescent="0.25">
      <c r="A1113" s="157"/>
      <c r="B1113" s="157"/>
      <c r="C1113" s="157"/>
      <c r="D1113" s="157"/>
      <c r="E1113" s="157"/>
      <c r="F1113" s="157"/>
    </row>
    <row r="1114" spans="1:6" ht="15.75" x14ac:dyDescent="0.25">
      <c r="A1114" s="157"/>
      <c r="B1114" s="157"/>
      <c r="C1114" s="157"/>
      <c r="D1114" s="157"/>
      <c r="E1114" s="157"/>
      <c r="F1114" s="157"/>
    </row>
    <row r="1115" spans="1:6" ht="15.75" x14ac:dyDescent="0.25">
      <c r="A1115" s="157"/>
      <c r="B1115" s="157"/>
      <c r="C1115" s="157"/>
      <c r="D1115" s="157"/>
      <c r="E1115" s="157"/>
      <c r="F1115" s="157"/>
    </row>
    <row r="1116" spans="1:6" ht="15.75" x14ac:dyDescent="0.25">
      <c r="A1116" s="157"/>
      <c r="B1116" s="157"/>
      <c r="C1116" s="157"/>
      <c r="D1116" s="157"/>
      <c r="E1116" s="157"/>
      <c r="F1116" s="157"/>
    </row>
    <row r="1117" spans="1:6" ht="15.75" x14ac:dyDescent="0.25">
      <c r="A1117" s="157"/>
      <c r="B1117" s="157"/>
      <c r="C1117" s="157"/>
      <c r="D1117" s="157"/>
      <c r="E1117" s="157"/>
      <c r="F1117" s="157"/>
    </row>
    <row r="1118" spans="1:6" ht="15.75" x14ac:dyDescent="0.25">
      <c r="A1118" s="157"/>
      <c r="B1118" s="157"/>
      <c r="C1118" s="157"/>
      <c r="D1118" s="157"/>
      <c r="E1118" s="157"/>
      <c r="F1118" s="157"/>
    </row>
    <row r="1119" spans="1:6" ht="15.75" x14ac:dyDescent="0.25">
      <c r="A1119" s="157"/>
      <c r="B1119" s="157"/>
      <c r="C1119" s="157"/>
      <c r="D1119" s="157"/>
      <c r="E1119" s="157"/>
      <c r="F1119" s="157"/>
    </row>
    <row r="1120" spans="1:6" ht="15.75" x14ac:dyDescent="0.25">
      <c r="A1120" s="157"/>
      <c r="B1120" s="157"/>
      <c r="C1120" s="157"/>
      <c r="D1120" s="157"/>
      <c r="E1120" s="157"/>
      <c r="F1120" s="157"/>
    </row>
    <row r="1121" spans="1:6" ht="15.75" x14ac:dyDescent="0.25">
      <c r="A1121" s="157"/>
      <c r="B1121" s="157"/>
      <c r="C1121" s="157"/>
      <c r="D1121" s="157"/>
      <c r="E1121" s="157"/>
      <c r="F1121" s="157"/>
    </row>
    <row r="1122" spans="1:6" ht="15.75" x14ac:dyDescent="0.25">
      <c r="A1122" s="157"/>
      <c r="B1122" s="157"/>
      <c r="C1122" s="157"/>
      <c r="D1122" s="157"/>
      <c r="E1122" s="157"/>
      <c r="F1122" s="157"/>
    </row>
    <row r="1123" spans="1:6" ht="15.75" x14ac:dyDescent="0.25">
      <c r="A1123" s="157"/>
      <c r="B1123" s="157"/>
      <c r="C1123" s="157"/>
      <c r="D1123" s="157"/>
      <c r="E1123" s="157"/>
      <c r="F1123" s="157"/>
    </row>
    <row r="1124" spans="1:6" ht="15.75" x14ac:dyDescent="0.25">
      <c r="A1124" s="157"/>
      <c r="B1124" s="157"/>
      <c r="C1124" s="157"/>
      <c r="D1124" s="157"/>
      <c r="E1124" s="157"/>
      <c r="F1124" s="157"/>
    </row>
    <row r="1125" spans="1:6" ht="15.75" x14ac:dyDescent="0.25">
      <c r="A1125" s="157"/>
      <c r="B1125" s="157"/>
      <c r="C1125" s="157"/>
      <c r="D1125" s="157"/>
      <c r="E1125" s="157"/>
      <c r="F1125" s="157"/>
    </row>
    <row r="1126" spans="1:6" ht="15.75" x14ac:dyDescent="0.25">
      <c r="A1126" s="157"/>
      <c r="B1126" s="157"/>
      <c r="C1126" s="157"/>
      <c r="D1126" s="157"/>
      <c r="E1126" s="157"/>
      <c r="F1126" s="157"/>
    </row>
    <row r="1127" spans="1:6" ht="15.75" x14ac:dyDescent="0.25">
      <c r="A1127" s="157"/>
      <c r="B1127" s="157"/>
      <c r="C1127" s="157"/>
      <c r="D1127" s="157"/>
      <c r="E1127" s="157"/>
      <c r="F1127" s="157"/>
    </row>
    <row r="1128" spans="1:6" ht="15.75" x14ac:dyDescent="0.25">
      <c r="A1128" s="157"/>
      <c r="B1128" s="157"/>
      <c r="C1128" s="157"/>
      <c r="D1128" s="157"/>
      <c r="E1128" s="157"/>
      <c r="F1128" s="157"/>
    </row>
    <row r="1129" spans="1:6" ht="15.75" x14ac:dyDescent="0.25">
      <c r="A1129" s="157"/>
      <c r="B1129" s="157"/>
      <c r="C1129" s="157"/>
      <c r="D1129" s="157"/>
      <c r="E1129" s="157"/>
      <c r="F1129" s="157"/>
    </row>
    <row r="1130" spans="1:6" ht="15.75" x14ac:dyDescent="0.25">
      <c r="A1130" s="157"/>
      <c r="B1130" s="157"/>
      <c r="C1130" s="157"/>
      <c r="D1130" s="157"/>
      <c r="E1130" s="157"/>
      <c r="F1130" s="157"/>
    </row>
    <row r="1131" spans="1:6" ht="15.75" x14ac:dyDescent="0.25">
      <c r="A1131" s="157"/>
      <c r="B1131" s="157"/>
      <c r="C1131" s="157"/>
      <c r="D1131" s="157"/>
      <c r="E1131" s="157"/>
      <c r="F1131" s="157"/>
    </row>
    <row r="1132" spans="1:6" ht="15.75" x14ac:dyDescent="0.25">
      <c r="A1132" s="157"/>
      <c r="B1132" s="157"/>
      <c r="C1132" s="157"/>
      <c r="D1132" s="157"/>
      <c r="E1132" s="157"/>
      <c r="F1132" s="157"/>
    </row>
    <row r="1133" spans="1:6" ht="15.75" x14ac:dyDescent="0.25">
      <c r="A1133" s="157"/>
      <c r="B1133" s="157"/>
      <c r="C1133" s="157"/>
      <c r="D1133" s="157"/>
      <c r="E1133" s="157"/>
      <c r="F1133" s="157"/>
    </row>
    <row r="1134" spans="1:6" ht="15.75" x14ac:dyDescent="0.25">
      <c r="A1134" s="157"/>
      <c r="B1134" s="157"/>
      <c r="C1134" s="157"/>
      <c r="D1134" s="157"/>
      <c r="E1134" s="157"/>
      <c r="F1134" s="157"/>
    </row>
    <row r="1135" spans="1:6" ht="15.75" x14ac:dyDescent="0.25">
      <c r="A1135" s="157"/>
      <c r="B1135" s="157"/>
      <c r="C1135" s="157"/>
      <c r="D1135" s="157"/>
      <c r="E1135" s="157"/>
      <c r="F1135" s="157"/>
    </row>
    <row r="1136" spans="1:6" ht="15.75" x14ac:dyDescent="0.25">
      <c r="A1136" s="157"/>
      <c r="B1136" s="157"/>
      <c r="C1136" s="157"/>
      <c r="D1136" s="157"/>
      <c r="E1136" s="157"/>
      <c r="F1136" s="157"/>
    </row>
    <row r="1137" spans="1:6" ht="15.75" x14ac:dyDescent="0.25">
      <c r="A1137" s="157"/>
      <c r="B1137" s="157"/>
      <c r="C1137" s="157"/>
      <c r="D1137" s="157"/>
      <c r="E1137" s="157"/>
      <c r="F1137" s="157"/>
    </row>
    <row r="1138" spans="1:6" ht="15.75" x14ac:dyDescent="0.25">
      <c r="A1138" s="157"/>
      <c r="B1138" s="157"/>
      <c r="C1138" s="157"/>
      <c r="D1138" s="157"/>
      <c r="E1138" s="157"/>
      <c r="F1138" s="157"/>
    </row>
    <row r="1139" spans="1:6" ht="15.75" x14ac:dyDescent="0.25">
      <c r="A1139" s="157"/>
      <c r="B1139" s="157"/>
      <c r="C1139" s="157"/>
      <c r="D1139" s="157"/>
      <c r="E1139" s="157"/>
      <c r="F1139" s="157"/>
    </row>
    <row r="1140" spans="1:6" ht="15.75" x14ac:dyDescent="0.25">
      <c r="A1140" s="157"/>
      <c r="B1140" s="157"/>
      <c r="C1140" s="157"/>
      <c r="D1140" s="157"/>
      <c r="E1140" s="157"/>
      <c r="F1140" s="157"/>
    </row>
    <row r="1141" spans="1:6" ht="15.75" x14ac:dyDescent="0.25">
      <c r="A1141" s="157"/>
      <c r="B1141" s="157"/>
      <c r="C1141" s="157"/>
      <c r="D1141" s="157"/>
      <c r="E1141" s="157"/>
      <c r="F1141" s="157"/>
    </row>
    <row r="1142" spans="1:6" ht="15.75" x14ac:dyDescent="0.25">
      <c r="A1142" s="157"/>
      <c r="B1142" s="157"/>
      <c r="C1142" s="157"/>
      <c r="D1142" s="157"/>
      <c r="E1142" s="157"/>
      <c r="F1142" s="157"/>
    </row>
    <row r="1143" spans="1:6" ht="15.75" x14ac:dyDescent="0.25">
      <c r="A1143" s="157"/>
      <c r="B1143" s="157"/>
      <c r="C1143" s="157"/>
      <c r="D1143" s="157"/>
      <c r="E1143" s="157"/>
      <c r="F1143" s="157"/>
    </row>
    <row r="1144" spans="1:6" ht="15.75" x14ac:dyDescent="0.25">
      <c r="A1144" s="157"/>
      <c r="B1144" s="157"/>
      <c r="C1144" s="157"/>
      <c r="D1144" s="157"/>
      <c r="E1144" s="157"/>
      <c r="F1144" s="157"/>
    </row>
    <row r="1145" spans="1:6" ht="15.75" x14ac:dyDescent="0.25">
      <c r="A1145" s="157"/>
      <c r="B1145" s="157"/>
      <c r="C1145" s="157"/>
      <c r="D1145" s="157"/>
      <c r="E1145" s="157"/>
      <c r="F1145" s="157"/>
    </row>
    <row r="1146" spans="1:6" ht="15.75" x14ac:dyDescent="0.25">
      <c r="A1146" s="157"/>
      <c r="B1146" s="157"/>
      <c r="C1146" s="157"/>
      <c r="D1146" s="157"/>
      <c r="E1146" s="157"/>
      <c r="F1146" s="157"/>
    </row>
    <row r="1147" spans="1:6" ht="15.75" x14ac:dyDescent="0.25">
      <c r="A1147" s="157"/>
      <c r="B1147" s="157"/>
      <c r="C1147" s="157"/>
      <c r="D1147" s="157"/>
      <c r="E1147" s="157"/>
      <c r="F1147" s="157"/>
    </row>
    <row r="1148" spans="1:6" ht="15.75" x14ac:dyDescent="0.25">
      <c r="A1148" s="157"/>
      <c r="B1148" s="157"/>
      <c r="C1148" s="157"/>
      <c r="D1148" s="157"/>
      <c r="E1148" s="157"/>
      <c r="F1148" s="157"/>
    </row>
    <row r="1149" spans="1:6" ht="15.75" x14ac:dyDescent="0.25">
      <c r="A1149" s="157"/>
      <c r="B1149" s="157"/>
      <c r="C1149" s="157"/>
      <c r="D1149" s="157"/>
      <c r="E1149" s="157"/>
      <c r="F1149" s="157"/>
    </row>
    <row r="1150" spans="1:6" ht="15.75" x14ac:dyDescent="0.25">
      <c r="A1150" s="157"/>
      <c r="B1150" s="157"/>
      <c r="C1150" s="157"/>
      <c r="D1150" s="157"/>
      <c r="E1150" s="157"/>
      <c r="F1150" s="157"/>
    </row>
    <row r="1151" spans="1:6" ht="15.75" x14ac:dyDescent="0.25">
      <c r="A1151" s="157"/>
      <c r="B1151" s="157"/>
      <c r="C1151" s="157"/>
      <c r="D1151" s="157"/>
      <c r="E1151" s="157"/>
      <c r="F1151" s="157"/>
    </row>
    <row r="1152" spans="1:6" ht="15.75" x14ac:dyDescent="0.25">
      <c r="A1152" s="157"/>
      <c r="B1152" s="157"/>
      <c r="C1152" s="157"/>
      <c r="D1152" s="157"/>
      <c r="E1152" s="157"/>
      <c r="F1152" s="157"/>
    </row>
    <row r="1153" spans="1:6" ht="15.75" x14ac:dyDescent="0.25">
      <c r="A1153" s="157"/>
      <c r="B1153" s="157"/>
      <c r="C1153" s="157"/>
      <c r="D1153" s="157"/>
      <c r="E1153" s="157"/>
      <c r="F1153" s="157"/>
    </row>
    <row r="1154" spans="1:6" ht="15.75" x14ac:dyDescent="0.25">
      <c r="A1154" s="157"/>
      <c r="B1154" s="157"/>
      <c r="C1154" s="157"/>
      <c r="D1154" s="157"/>
      <c r="E1154" s="157"/>
      <c r="F1154" s="157"/>
    </row>
    <row r="1155" spans="1:6" ht="15.75" x14ac:dyDescent="0.25">
      <c r="A1155" s="157"/>
      <c r="B1155" s="157"/>
      <c r="C1155" s="157"/>
      <c r="D1155" s="157"/>
      <c r="E1155" s="157"/>
      <c r="F1155" s="157"/>
    </row>
    <row r="1156" spans="1:6" ht="15.75" x14ac:dyDescent="0.25">
      <c r="A1156" s="157"/>
      <c r="B1156" s="157"/>
      <c r="C1156" s="157"/>
      <c r="D1156" s="157"/>
      <c r="E1156" s="157"/>
      <c r="F1156" s="157"/>
    </row>
    <row r="1157" spans="1:6" ht="15.75" x14ac:dyDescent="0.25">
      <c r="A1157" s="157"/>
      <c r="B1157" s="157"/>
      <c r="C1157" s="157"/>
      <c r="D1157" s="157"/>
      <c r="E1157" s="157"/>
      <c r="F1157" s="157"/>
    </row>
    <row r="1158" spans="1:6" ht="15.75" x14ac:dyDescent="0.25">
      <c r="A1158" s="157"/>
      <c r="B1158" s="157"/>
      <c r="C1158" s="157"/>
      <c r="D1158" s="157"/>
      <c r="E1158" s="157"/>
      <c r="F1158" s="157"/>
    </row>
    <row r="1159" spans="1:6" ht="15.75" x14ac:dyDescent="0.25">
      <c r="A1159" s="157"/>
      <c r="B1159" s="157"/>
      <c r="C1159" s="157"/>
      <c r="D1159" s="157"/>
      <c r="E1159" s="157"/>
      <c r="F1159" s="157"/>
    </row>
    <row r="1160" spans="1:6" ht="15.75" x14ac:dyDescent="0.25">
      <c r="A1160" s="157"/>
      <c r="B1160" s="157"/>
      <c r="C1160" s="157"/>
      <c r="D1160" s="157"/>
      <c r="E1160" s="157"/>
      <c r="F1160" s="157"/>
    </row>
    <row r="1161" spans="1:6" ht="15.75" x14ac:dyDescent="0.25">
      <c r="A1161" s="157"/>
      <c r="B1161" s="157"/>
      <c r="C1161" s="157"/>
      <c r="D1161" s="157"/>
      <c r="E1161" s="157"/>
      <c r="F1161" s="157"/>
    </row>
    <row r="1162" spans="1:6" ht="15.75" x14ac:dyDescent="0.25">
      <c r="A1162" s="157"/>
      <c r="B1162" s="157"/>
      <c r="C1162" s="157"/>
      <c r="D1162" s="157"/>
      <c r="E1162" s="157"/>
      <c r="F1162" s="157"/>
    </row>
    <row r="1163" spans="1:6" ht="15.75" x14ac:dyDescent="0.25">
      <c r="A1163" s="157"/>
      <c r="B1163" s="157"/>
      <c r="C1163" s="157"/>
      <c r="D1163" s="157"/>
      <c r="E1163" s="157"/>
      <c r="F1163" s="157"/>
    </row>
    <row r="1164" spans="1:6" ht="15.75" x14ac:dyDescent="0.25">
      <c r="A1164" s="157"/>
      <c r="B1164" s="157"/>
      <c r="C1164" s="157"/>
      <c r="D1164" s="157"/>
      <c r="E1164" s="157"/>
      <c r="F1164" s="157"/>
    </row>
    <row r="1165" spans="1:6" ht="15.75" x14ac:dyDescent="0.25">
      <c r="A1165" s="157"/>
      <c r="B1165" s="157"/>
      <c r="C1165" s="157"/>
      <c r="D1165" s="157"/>
      <c r="E1165" s="157"/>
      <c r="F1165" s="157"/>
    </row>
    <row r="1166" spans="1:6" ht="15.75" x14ac:dyDescent="0.25">
      <c r="A1166" s="157"/>
      <c r="B1166" s="157"/>
      <c r="C1166" s="157"/>
      <c r="D1166" s="157"/>
      <c r="E1166" s="157"/>
      <c r="F1166" s="157"/>
    </row>
    <row r="1167" spans="1:6" ht="15.75" x14ac:dyDescent="0.25">
      <c r="A1167" s="157"/>
      <c r="B1167" s="157"/>
      <c r="C1167" s="157"/>
      <c r="D1167" s="157"/>
      <c r="E1167" s="157"/>
      <c r="F1167" s="157"/>
    </row>
    <row r="1168" spans="1:6" ht="15.75" x14ac:dyDescent="0.25">
      <c r="A1168" s="157"/>
      <c r="B1168" s="157"/>
      <c r="C1168" s="157"/>
      <c r="D1168" s="157"/>
      <c r="E1168" s="157"/>
      <c r="F1168" s="157"/>
    </row>
    <row r="1169" spans="1:6" ht="15.75" x14ac:dyDescent="0.25">
      <c r="A1169" s="157"/>
      <c r="B1169" s="157"/>
      <c r="C1169" s="157"/>
      <c r="D1169" s="157"/>
      <c r="E1169" s="157"/>
      <c r="F1169" s="157"/>
    </row>
    <row r="1170" spans="1:6" ht="15.75" x14ac:dyDescent="0.25">
      <c r="A1170" s="157"/>
      <c r="B1170" s="157"/>
      <c r="C1170" s="157"/>
      <c r="D1170" s="157"/>
      <c r="E1170" s="157"/>
      <c r="F1170" s="157"/>
    </row>
    <row r="1171" spans="1:6" ht="15.75" x14ac:dyDescent="0.25">
      <c r="A1171" s="157"/>
      <c r="B1171" s="157"/>
      <c r="C1171" s="157"/>
      <c r="D1171" s="157"/>
      <c r="E1171" s="157"/>
      <c r="F1171" s="157"/>
    </row>
    <row r="1172" spans="1:6" ht="15.75" x14ac:dyDescent="0.25">
      <c r="A1172" s="157"/>
      <c r="B1172" s="157"/>
      <c r="C1172" s="157"/>
      <c r="D1172" s="157"/>
      <c r="E1172" s="157"/>
      <c r="F1172" s="157"/>
    </row>
    <row r="1173" spans="1:6" ht="15.75" x14ac:dyDescent="0.25">
      <c r="A1173" s="157"/>
      <c r="B1173" s="157"/>
      <c r="C1173" s="157"/>
      <c r="D1173" s="157"/>
      <c r="E1173" s="157"/>
      <c r="F1173" s="157"/>
    </row>
    <row r="1174" spans="1:6" ht="15.75" x14ac:dyDescent="0.25">
      <c r="A1174" s="157"/>
      <c r="B1174" s="157"/>
      <c r="C1174" s="157"/>
      <c r="D1174" s="157"/>
      <c r="E1174" s="157"/>
      <c r="F1174" s="157"/>
    </row>
    <row r="1175" spans="1:6" ht="15.75" x14ac:dyDescent="0.25">
      <c r="A1175" s="157"/>
      <c r="B1175" s="157"/>
      <c r="C1175" s="157"/>
      <c r="D1175" s="157"/>
      <c r="E1175" s="157"/>
      <c r="F1175" s="157"/>
    </row>
    <row r="1176" spans="1:6" ht="15.75" x14ac:dyDescent="0.25">
      <c r="A1176" s="157"/>
      <c r="B1176" s="157"/>
      <c r="C1176" s="157"/>
      <c r="D1176" s="157"/>
      <c r="E1176" s="157"/>
      <c r="F1176" s="157"/>
    </row>
    <row r="1177" spans="1:6" ht="15.75" x14ac:dyDescent="0.25">
      <c r="A1177" s="157"/>
      <c r="B1177" s="157"/>
      <c r="C1177" s="157"/>
      <c r="D1177" s="157"/>
      <c r="E1177" s="157"/>
      <c r="F1177" s="157"/>
    </row>
    <row r="1178" spans="1:6" ht="15.75" x14ac:dyDescent="0.25">
      <c r="A1178" s="157"/>
      <c r="B1178" s="157"/>
      <c r="C1178" s="157"/>
      <c r="D1178" s="157"/>
      <c r="E1178" s="157"/>
      <c r="F1178" s="157"/>
    </row>
    <row r="1179" spans="1:6" ht="15.75" x14ac:dyDescent="0.25">
      <c r="A1179" s="157"/>
      <c r="B1179" s="157"/>
      <c r="C1179" s="157"/>
      <c r="D1179" s="157"/>
      <c r="E1179" s="157"/>
      <c r="F1179" s="157"/>
    </row>
    <row r="1180" spans="1:6" ht="15.75" x14ac:dyDescent="0.25">
      <c r="A1180" s="157"/>
      <c r="B1180" s="157"/>
      <c r="C1180" s="157"/>
      <c r="D1180" s="157"/>
      <c r="E1180" s="157"/>
      <c r="F1180" s="157"/>
    </row>
    <row r="1181" spans="1:6" ht="15.75" x14ac:dyDescent="0.25">
      <c r="A1181" s="157"/>
      <c r="B1181" s="157"/>
      <c r="C1181" s="157"/>
      <c r="D1181" s="157"/>
      <c r="E1181" s="157"/>
      <c r="F1181" s="157"/>
    </row>
    <row r="1182" spans="1:6" ht="15.75" x14ac:dyDescent="0.25">
      <c r="A1182" s="157"/>
      <c r="B1182" s="157"/>
      <c r="C1182" s="157"/>
      <c r="D1182" s="157"/>
      <c r="E1182" s="157"/>
      <c r="F1182" s="157"/>
    </row>
    <row r="1183" spans="1:6" ht="15.75" x14ac:dyDescent="0.25">
      <c r="A1183" s="157"/>
      <c r="B1183" s="157"/>
      <c r="C1183" s="157"/>
      <c r="D1183" s="157"/>
      <c r="E1183" s="157"/>
      <c r="F1183" s="157"/>
    </row>
    <row r="1184" spans="1:6" ht="15.75" x14ac:dyDescent="0.25">
      <c r="A1184" s="157"/>
      <c r="B1184" s="157"/>
      <c r="C1184" s="157"/>
      <c r="D1184" s="157"/>
      <c r="E1184" s="157"/>
      <c r="F1184" s="157"/>
    </row>
    <row r="1185" spans="1:6" ht="15.75" x14ac:dyDescent="0.25">
      <c r="A1185" s="157"/>
      <c r="B1185" s="157"/>
      <c r="C1185" s="157"/>
      <c r="D1185" s="157"/>
      <c r="E1185" s="157"/>
      <c r="F1185" s="157"/>
    </row>
    <row r="1186" spans="1:6" ht="15.75" x14ac:dyDescent="0.25">
      <c r="A1186" s="157"/>
      <c r="B1186" s="157"/>
      <c r="C1186" s="157"/>
      <c r="D1186" s="157"/>
      <c r="E1186" s="157"/>
      <c r="F1186" s="157"/>
    </row>
    <row r="1187" spans="1:6" ht="15.75" x14ac:dyDescent="0.25">
      <c r="A1187" s="157"/>
      <c r="B1187" s="157"/>
      <c r="C1187" s="157"/>
      <c r="D1187" s="157"/>
      <c r="E1187" s="157"/>
      <c r="F1187" s="157"/>
    </row>
    <row r="1188" spans="1:6" ht="15.75" x14ac:dyDescent="0.25">
      <c r="A1188" s="157"/>
      <c r="B1188" s="157"/>
      <c r="C1188" s="157"/>
      <c r="D1188" s="157"/>
      <c r="E1188" s="157"/>
      <c r="F1188" s="157"/>
    </row>
    <row r="1189" spans="1:6" ht="15.75" x14ac:dyDescent="0.25">
      <c r="A1189" s="157"/>
      <c r="B1189" s="157"/>
      <c r="C1189" s="157"/>
      <c r="D1189" s="157"/>
      <c r="E1189" s="157"/>
      <c r="F1189" s="157"/>
    </row>
    <row r="1190" spans="1:6" ht="15.75" x14ac:dyDescent="0.25">
      <c r="A1190" s="157"/>
      <c r="B1190" s="157"/>
      <c r="C1190" s="157"/>
      <c r="D1190" s="157"/>
      <c r="E1190" s="157"/>
      <c r="F1190" s="157"/>
    </row>
    <row r="1191" spans="1:6" ht="15.75" x14ac:dyDescent="0.25">
      <c r="A1191" s="157"/>
      <c r="B1191" s="157"/>
      <c r="C1191" s="157"/>
      <c r="D1191" s="157"/>
      <c r="E1191" s="157"/>
      <c r="F1191" s="157"/>
    </row>
    <row r="1192" spans="1:6" ht="15.75" x14ac:dyDescent="0.25">
      <c r="A1192" s="157"/>
      <c r="B1192" s="157"/>
      <c r="C1192" s="157"/>
      <c r="D1192" s="157"/>
      <c r="E1192" s="157"/>
      <c r="F1192" s="157"/>
    </row>
    <row r="1193" spans="1:6" ht="15.75" x14ac:dyDescent="0.25">
      <c r="A1193" s="157"/>
      <c r="B1193" s="157"/>
      <c r="C1193" s="157"/>
      <c r="D1193" s="157"/>
      <c r="E1193" s="157"/>
      <c r="F1193" s="157"/>
    </row>
    <row r="1194" spans="1:6" ht="15.75" x14ac:dyDescent="0.25">
      <c r="A1194" s="157"/>
      <c r="B1194" s="157"/>
      <c r="C1194" s="157"/>
      <c r="D1194" s="157"/>
      <c r="E1194" s="157"/>
      <c r="F1194" s="157"/>
    </row>
    <row r="1195" spans="1:6" ht="15.75" x14ac:dyDescent="0.25">
      <c r="A1195" s="157"/>
      <c r="B1195" s="157"/>
      <c r="C1195" s="157"/>
      <c r="D1195" s="157"/>
      <c r="E1195" s="157"/>
      <c r="F1195" s="157"/>
    </row>
    <row r="1196" spans="1:6" ht="15.75" x14ac:dyDescent="0.25">
      <c r="A1196" s="157"/>
      <c r="B1196" s="157"/>
      <c r="C1196" s="157"/>
      <c r="D1196" s="157"/>
      <c r="E1196" s="157"/>
      <c r="F1196" s="157"/>
    </row>
    <row r="1197" spans="1:6" ht="15.75" x14ac:dyDescent="0.25">
      <c r="A1197" s="157"/>
      <c r="B1197" s="157"/>
      <c r="C1197" s="157"/>
      <c r="D1197" s="157"/>
      <c r="E1197" s="157"/>
      <c r="F1197" s="157"/>
    </row>
    <row r="1198" spans="1:6" ht="15.75" x14ac:dyDescent="0.25">
      <c r="A1198" s="157"/>
      <c r="B1198" s="157"/>
      <c r="C1198" s="157"/>
      <c r="D1198" s="157"/>
      <c r="E1198" s="157"/>
      <c r="F1198" s="157"/>
    </row>
    <row r="1199" spans="1:6" ht="15.75" x14ac:dyDescent="0.25">
      <c r="A1199" s="157"/>
      <c r="B1199" s="157"/>
      <c r="C1199" s="157"/>
      <c r="D1199" s="157"/>
      <c r="E1199" s="157"/>
      <c r="F1199" s="157"/>
    </row>
    <row r="1200" spans="1:6" ht="15.75" x14ac:dyDescent="0.25">
      <c r="A1200" s="157"/>
      <c r="B1200" s="157"/>
      <c r="C1200" s="157"/>
      <c r="D1200" s="157"/>
      <c r="E1200" s="157"/>
      <c r="F1200" s="157"/>
    </row>
    <row r="1201" spans="1:6" ht="15.75" x14ac:dyDescent="0.25">
      <c r="A1201" s="157"/>
      <c r="B1201" s="157"/>
      <c r="C1201" s="157"/>
      <c r="D1201" s="157"/>
      <c r="E1201" s="157"/>
      <c r="F1201" s="157"/>
    </row>
    <row r="1202" spans="1:6" ht="15.75" x14ac:dyDescent="0.25">
      <c r="A1202" s="157"/>
      <c r="B1202" s="157"/>
      <c r="C1202" s="157"/>
      <c r="D1202" s="157"/>
      <c r="E1202" s="157"/>
      <c r="F1202" s="157"/>
    </row>
    <row r="1203" spans="1:6" ht="15.75" x14ac:dyDescent="0.25">
      <c r="A1203" s="157"/>
      <c r="B1203" s="157"/>
      <c r="C1203" s="157"/>
      <c r="D1203" s="157"/>
      <c r="E1203" s="157"/>
      <c r="F1203" s="157"/>
    </row>
    <row r="1204" spans="1:6" ht="15.75" x14ac:dyDescent="0.25">
      <c r="A1204" s="157"/>
      <c r="B1204" s="157"/>
      <c r="C1204" s="157"/>
      <c r="D1204" s="157"/>
      <c r="E1204" s="157"/>
      <c r="F1204" s="157"/>
    </row>
    <row r="1205" spans="1:6" ht="15.75" x14ac:dyDescent="0.25">
      <c r="A1205" s="157"/>
      <c r="B1205" s="157"/>
      <c r="C1205" s="157"/>
      <c r="D1205" s="157"/>
      <c r="E1205" s="157"/>
      <c r="F1205" s="157"/>
    </row>
    <row r="1206" spans="1:6" ht="15.75" x14ac:dyDescent="0.25">
      <c r="A1206" s="157"/>
      <c r="B1206" s="157"/>
      <c r="C1206" s="157"/>
      <c r="D1206" s="157"/>
      <c r="E1206" s="157"/>
      <c r="F1206" s="157"/>
    </row>
    <row r="1207" spans="1:6" ht="15.75" x14ac:dyDescent="0.25">
      <c r="A1207" s="157"/>
      <c r="B1207" s="157"/>
      <c r="C1207" s="157"/>
      <c r="D1207" s="157"/>
      <c r="E1207" s="157"/>
      <c r="F1207" s="157"/>
    </row>
    <row r="1208" spans="1:6" ht="15.75" x14ac:dyDescent="0.25">
      <c r="A1208" s="157"/>
      <c r="B1208" s="157"/>
      <c r="C1208" s="157"/>
      <c r="D1208" s="157"/>
      <c r="E1208" s="157"/>
      <c r="F1208" s="157"/>
    </row>
    <row r="1209" spans="1:6" ht="15.75" x14ac:dyDescent="0.25">
      <c r="A1209" s="157"/>
      <c r="B1209" s="157"/>
      <c r="C1209" s="157"/>
      <c r="D1209" s="157"/>
      <c r="E1209" s="157"/>
      <c r="F1209" s="157"/>
    </row>
    <row r="1210" spans="1:6" ht="15.75" x14ac:dyDescent="0.25">
      <c r="A1210" s="157"/>
      <c r="B1210" s="157"/>
      <c r="C1210" s="157"/>
      <c r="D1210" s="157"/>
      <c r="E1210" s="157"/>
      <c r="F1210" s="157"/>
    </row>
    <row r="1211" spans="1:6" ht="15.75" x14ac:dyDescent="0.25">
      <c r="A1211" s="157"/>
      <c r="B1211" s="157"/>
      <c r="C1211" s="157"/>
      <c r="D1211" s="157"/>
      <c r="E1211" s="157"/>
      <c r="F1211" s="157"/>
    </row>
    <row r="1212" spans="1:6" ht="15.75" x14ac:dyDescent="0.25">
      <c r="A1212" s="157"/>
      <c r="B1212" s="157"/>
      <c r="C1212" s="157"/>
      <c r="D1212" s="157"/>
      <c r="E1212" s="157"/>
      <c r="F1212" s="157"/>
    </row>
    <row r="1213" spans="1:6" ht="15.75" x14ac:dyDescent="0.25">
      <c r="A1213" s="157"/>
      <c r="B1213" s="157"/>
      <c r="C1213" s="157"/>
      <c r="D1213" s="157"/>
      <c r="E1213" s="157"/>
      <c r="F1213" s="157"/>
    </row>
    <row r="1214" spans="1:6" ht="15.75" x14ac:dyDescent="0.25">
      <c r="A1214" s="157"/>
      <c r="B1214" s="157"/>
      <c r="C1214" s="157"/>
      <c r="D1214" s="157"/>
      <c r="E1214" s="157"/>
      <c r="F1214" s="157"/>
    </row>
    <row r="1215" spans="1:6" ht="15.75" x14ac:dyDescent="0.25">
      <c r="A1215" s="157"/>
      <c r="B1215" s="157"/>
      <c r="C1215" s="157"/>
      <c r="D1215" s="157"/>
      <c r="E1215" s="157"/>
      <c r="F1215" s="157"/>
    </row>
    <row r="1216" spans="1:6" ht="15.75" x14ac:dyDescent="0.25">
      <c r="A1216" s="157"/>
      <c r="B1216" s="157"/>
      <c r="C1216" s="157"/>
      <c r="D1216" s="157"/>
      <c r="E1216" s="157"/>
      <c r="F1216" s="157"/>
    </row>
    <row r="1217" spans="1:6" ht="15.75" x14ac:dyDescent="0.25">
      <c r="A1217" s="157"/>
      <c r="B1217" s="157"/>
      <c r="C1217" s="157"/>
      <c r="D1217" s="157"/>
      <c r="E1217" s="157"/>
      <c r="F1217" s="157"/>
    </row>
    <row r="1218" spans="1:6" ht="15.75" x14ac:dyDescent="0.25">
      <c r="A1218" s="157"/>
      <c r="B1218" s="157"/>
      <c r="C1218" s="157"/>
      <c r="D1218" s="157"/>
      <c r="E1218" s="157"/>
      <c r="F1218" s="157"/>
    </row>
    <row r="1219" spans="1:6" ht="15.75" x14ac:dyDescent="0.25">
      <c r="A1219" s="157"/>
      <c r="B1219" s="157"/>
      <c r="C1219" s="157"/>
      <c r="D1219" s="157"/>
      <c r="E1219" s="157"/>
      <c r="F1219" s="157"/>
    </row>
    <row r="1220" spans="1:6" ht="15.75" x14ac:dyDescent="0.25">
      <c r="A1220" s="157"/>
      <c r="B1220" s="157"/>
      <c r="C1220" s="157"/>
      <c r="D1220" s="157"/>
      <c r="E1220" s="157"/>
      <c r="F1220" s="157"/>
    </row>
    <row r="1221" spans="1:6" ht="15.75" x14ac:dyDescent="0.25">
      <c r="A1221" s="157"/>
      <c r="B1221" s="157"/>
      <c r="C1221" s="157"/>
      <c r="D1221" s="157"/>
      <c r="E1221" s="157"/>
      <c r="F1221" s="157"/>
    </row>
    <row r="1222" spans="1:6" ht="15.75" x14ac:dyDescent="0.25">
      <c r="A1222" s="157"/>
      <c r="B1222" s="157"/>
      <c r="C1222" s="157"/>
      <c r="D1222" s="157"/>
      <c r="E1222" s="157"/>
      <c r="F1222" s="157"/>
    </row>
    <row r="1223" spans="1:6" ht="15.75" x14ac:dyDescent="0.25">
      <c r="A1223" s="157"/>
      <c r="B1223" s="157"/>
      <c r="C1223" s="157"/>
      <c r="D1223" s="157"/>
      <c r="E1223" s="157"/>
      <c r="F1223" s="157"/>
    </row>
    <row r="1224" spans="1:6" ht="15.75" x14ac:dyDescent="0.25">
      <c r="A1224" s="157"/>
      <c r="B1224" s="157"/>
      <c r="C1224" s="157"/>
      <c r="D1224" s="157"/>
      <c r="E1224" s="157"/>
      <c r="F1224" s="157"/>
    </row>
    <row r="1225" spans="1:6" ht="15.75" x14ac:dyDescent="0.25">
      <c r="A1225" s="157"/>
      <c r="B1225" s="157"/>
      <c r="C1225" s="157"/>
      <c r="D1225" s="157"/>
      <c r="E1225" s="157"/>
      <c r="F1225" s="157"/>
    </row>
    <row r="1226" spans="1:6" ht="15.75" x14ac:dyDescent="0.25">
      <c r="A1226" s="157"/>
      <c r="B1226" s="157"/>
      <c r="C1226" s="157"/>
      <c r="D1226" s="157"/>
      <c r="E1226" s="157"/>
      <c r="F1226" s="157"/>
    </row>
    <row r="1227" spans="1:6" ht="15.75" x14ac:dyDescent="0.25">
      <c r="A1227" s="157"/>
      <c r="B1227" s="157"/>
      <c r="C1227" s="157"/>
      <c r="D1227" s="157"/>
      <c r="E1227" s="157"/>
      <c r="F1227" s="157"/>
    </row>
    <row r="1228" spans="1:6" ht="15.75" x14ac:dyDescent="0.25">
      <c r="A1228" s="157"/>
      <c r="B1228" s="157"/>
      <c r="C1228" s="157"/>
      <c r="D1228" s="157"/>
      <c r="E1228" s="157"/>
      <c r="F1228" s="157"/>
    </row>
    <row r="1229" spans="1:6" ht="15.75" x14ac:dyDescent="0.25">
      <c r="A1229" s="157"/>
      <c r="B1229" s="157"/>
      <c r="C1229" s="157"/>
      <c r="D1229" s="157"/>
      <c r="E1229" s="157"/>
      <c r="F1229" s="157"/>
    </row>
    <row r="1230" spans="1:6" ht="15.75" x14ac:dyDescent="0.25">
      <c r="A1230" s="157"/>
      <c r="B1230" s="157"/>
      <c r="C1230" s="157"/>
      <c r="D1230" s="157"/>
      <c r="E1230" s="157"/>
      <c r="F1230" s="157"/>
    </row>
    <row r="1231" spans="1:6" ht="15.75" x14ac:dyDescent="0.25">
      <c r="A1231" s="157"/>
      <c r="B1231" s="157"/>
      <c r="C1231" s="157"/>
      <c r="D1231" s="157"/>
      <c r="E1231" s="157"/>
      <c r="F1231" s="157"/>
    </row>
    <row r="1232" spans="1:6" ht="15.75" x14ac:dyDescent="0.25">
      <c r="A1232" s="157"/>
      <c r="B1232" s="157"/>
      <c r="C1232" s="157"/>
      <c r="D1232" s="157"/>
      <c r="E1232" s="157"/>
      <c r="F1232" s="157"/>
    </row>
    <row r="1233" spans="1:6" ht="15.75" x14ac:dyDescent="0.25">
      <c r="A1233" s="157"/>
      <c r="B1233" s="157"/>
      <c r="C1233" s="157"/>
      <c r="D1233" s="157"/>
      <c r="E1233" s="157"/>
      <c r="F1233" s="157"/>
    </row>
    <row r="1234" spans="1:6" ht="15.75" x14ac:dyDescent="0.25">
      <c r="A1234" s="157"/>
      <c r="B1234" s="157"/>
      <c r="C1234" s="157"/>
      <c r="D1234" s="157"/>
      <c r="E1234" s="157"/>
      <c r="F1234" s="157"/>
    </row>
    <row r="1235" spans="1:6" ht="15.75" x14ac:dyDescent="0.25">
      <c r="A1235" s="157"/>
      <c r="B1235" s="157"/>
      <c r="C1235" s="157"/>
      <c r="D1235" s="157"/>
      <c r="E1235" s="157"/>
      <c r="F1235" s="157"/>
    </row>
    <row r="1236" spans="1:6" ht="15.75" x14ac:dyDescent="0.25">
      <c r="A1236" s="157"/>
      <c r="B1236" s="157"/>
      <c r="C1236" s="157"/>
      <c r="D1236" s="157"/>
      <c r="E1236" s="157"/>
      <c r="F1236" s="157"/>
    </row>
    <row r="1237" spans="1:6" ht="15.75" x14ac:dyDescent="0.25">
      <c r="A1237" s="157"/>
      <c r="B1237" s="157"/>
      <c r="C1237" s="157"/>
      <c r="D1237" s="157"/>
      <c r="E1237" s="157"/>
      <c r="F1237" s="157"/>
    </row>
    <row r="1238" spans="1:6" ht="15.75" x14ac:dyDescent="0.25">
      <c r="A1238" s="157"/>
      <c r="B1238" s="157"/>
      <c r="C1238" s="157"/>
      <c r="D1238" s="157"/>
      <c r="E1238" s="157"/>
      <c r="F1238" s="157"/>
    </row>
    <row r="1239" spans="1:6" ht="15.75" x14ac:dyDescent="0.25">
      <c r="A1239" s="157"/>
      <c r="B1239" s="157"/>
      <c r="C1239" s="157"/>
      <c r="D1239" s="157"/>
      <c r="E1239" s="157"/>
      <c r="F1239" s="157"/>
    </row>
    <row r="1240" spans="1:6" ht="15.75" x14ac:dyDescent="0.25">
      <c r="A1240" s="157"/>
      <c r="B1240" s="157"/>
      <c r="C1240" s="157"/>
      <c r="D1240" s="157"/>
      <c r="E1240" s="157"/>
      <c r="F1240" s="157"/>
    </row>
    <row r="1241" spans="1:6" ht="15.75" x14ac:dyDescent="0.25">
      <c r="A1241" s="157"/>
      <c r="B1241" s="157"/>
      <c r="C1241" s="157"/>
      <c r="D1241" s="157"/>
      <c r="E1241" s="157"/>
      <c r="F1241" s="157"/>
    </row>
    <row r="1242" spans="1:6" ht="15.75" x14ac:dyDescent="0.25">
      <c r="A1242" s="157"/>
      <c r="B1242" s="157"/>
      <c r="C1242" s="157"/>
      <c r="D1242" s="157"/>
      <c r="E1242" s="157"/>
      <c r="F1242" s="157"/>
    </row>
    <row r="1243" spans="1:6" ht="15.75" x14ac:dyDescent="0.25">
      <c r="A1243" s="157"/>
      <c r="B1243" s="157"/>
      <c r="C1243" s="157"/>
      <c r="D1243" s="157"/>
      <c r="E1243" s="157"/>
      <c r="F1243" s="157"/>
    </row>
    <row r="1244" spans="1:6" ht="15.75" x14ac:dyDescent="0.25">
      <c r="A1244" s="157"/>
      <c r="B1244" s="157"/>
      <c r="C1244" s="157"/>
      <c r="D1244" s="157"/>
      <c r="E1244" s="157"/>
      <c r="F1244" s="157"/>
    </row>
    <row r="1245" spans="1:6" ht="15.75" x14ac:dyDescent="0.25">
      <c r="A1245" s="157"/>
      <c r="B1245" s="157"/>
      <c r="C1245" s="157"/>
      <c r="D1245" s="157"/>
      <c r="E1245" s="157"/>
      <c r="F1245" s="157"/>
    </row>
    <row r="1246" spans="1:6" ht="15.75" x14ac:dyDescent="0.25">
      <c r="A1246" s="157"/>
      <c r="B1246" s="157"/>
      <c r="C1246" s="157"/>
      <c r="D1246" s="157"/>
      <c r="E1246" s="157"/>
      <c r="F1246" s="157"/>
    </row>
    <row r="1247" spans="1:6" ht="15.75" x14ac:dyDescent="0.25">
      <c r="A1247" s="157"/>
      <c r="B1247" s="157"/>
      <c r="C1247" s="157"/>
      <c r="D1247" s="157"/>
      <c r="E1247" s="157"/>
      <c r="F1247" s="157"/>
    </row>
    <row r="1248" spans="1:6" ht="15.75" x14ac:dyDescent="0.25">
      <c r="A1248" s="157"/>
      <c r="B1248" s="157"/>
      <c r="C1248" s="157"/>
      <c r="D1248" s="157"/>
      <c r="E1248" s="157"/>
      <c r="F1248" s="157"/>
    </row>
    <row r="1249" spans="1:6" ht="15.75" x14ac:dyDescent="0.25">
      <c r="A1249" s="157"/>
      <c r="B1249" s="157"/>
      <c r="C1249" s="157"/>
      <c r="D1249" s="157"/>
      <c r="E1249" s="157"/>
      <c r="F1249" s="157"/>
    </row>
    <row r="1250" spans="1:6" ht="15.75" x14ac:dyDescent="0.25">
      <c r="A1250" s="157"/>
      <c r="B1250" s="157"/>
      <c r="C1250" s="157"/>
      <c r="D1250" s="157"/>
      <c r="E1250" s="157"/>
      <c r="F1250" s="157"/>
    </row>
    <row r="1251" spans="1:6" ht="15.75" x14ac:dyDescent="0.25">
      <c r="A1251" s="157"/>
      <c r="B1251" s="157"/>
      <c r="C1251" s="157"/>
      <c r="D1251" s="157"/>
      <c r="E1251" s="157"/>
      <c r="F1251" s="157"/>
    </row>
    <row r="1252" spans="1:6" ht="15.75" x14ac:dyDescent="0.25">
      <c r="A1252" s="157"/>
      <c r="B1252" s="157"/>
      <c r="C1252" s="157"/>
      <c r="D1252" s="157"/>
      <c r="E1252" s="157"/>
      <c r="F1252" s="157"/>
    </row>
    <row r="1253" spans="1:6" ht="15.75" x14ac:dyDescent="0.25">
      <c r="A1253" s="157"/>
      <c r="B1253" s="157"/>
      <c r="C1253" s="157"/>
      <c r="D1253" s="157"/>
      <c r="E1253" s="157"/>
      <c r="F1253" s="157"/>
    </row>
    <row r="1254" spans="1:6" ht="15.75" x14ac:dyDescent="0.25">
      <c r="A1254" s="157"/>
      <c r="B1254" s="157"/>
      <c r="C1254" s="157"/>
      <c r="D1254" s="157"/>
      <c r="E1254" s="157"/>
      <c r="F1254" s="157"/>
    </row>
    <row r="1255" spans="1:6" ht="15.75" x14ac:dyDescent="0.25">
      <c r="A1255" s="157"/>
      <c r="B1255" s="157"/>
      <c r="C1255" s="157"/>
      <c r="D1255" s="157"/>
      <c r="E1255" s="157"/>
      <c r="F1255" s="157"/>
    </row>
    <row r="1256" spans="1:6" ht="15.75" x14ac:dyDescent="0.25">
      <c r="A1256" s="157"/>
      <c r="B1256" s="157"/>
      <c r="C1256" s="157"/>
      <c r="D1256" s="157"/>
      <c r="E1256" s="157"/>
      <c r="F1256" s="157"/>
    </row>
    <row r="1257" spans="1:6" ht="15.75" x14ac:dyDescent="0.25">
      <c r="A1257" s="157"/>
      <c r="B1257" s="157"/>
      <c r="C1257" s="157"/>
      <c r="D1257" s="157"/>
      <c r="E1257" s="157"/>
      <c r="F1257" s="157"/>
    </row>
    <row r="1258" spans="1:6" ht="15.75" x14ac:dyDescent="0.25">
      <c r="A1258" s="157"/>
      <c r="B1258" s="157"/>
      <c r="C1258" s="157"/>
      <c r="D1258" s="157"/>
      <c r="E1258" s="157"/>
      <c r="F1258" s="157"/>
    </row>
    <row r="1259" spans="1:6" ht="15.75" x14ac:dyDescent="0.25">
      <c r="A1259" s="157"/>
      <c r="B1259" s="157"/>
      <c r="C1259" s="157"/>
      <c r="D1259" s="157"/>
      <c r="E1259" s="157"/>
      <c r="F1259" s="157"/>
    </row>
    <row r="1260" spans="1:6" ht="15.75" x14ac:dyDescent="0.25">
      <c r="A1260" s="157"/>
      <c r="B1260" s="157"/>
      <c r="C1260" s="157"/>
      <c r="D1260" s="157"/>
      <c r="E1260" s="157"/>
      <c r="F1260" s="157"/>
    </row>
    <row r="1261" spans="1:6" ht="15.75" x14ac:dyDescent="0.25">
      <c r="A1261" s="157"/>
      <c r="B1261" s="157"/>
      <c r="C1261" s="157"/>
      <c r="D1261" s="157"/>
      <c r="E1261" s="157"/>
      <c r="F1261" s="157"/>
    </row>
    <row r="1262" spans="1:6" ht="15.75" x14ac:dyDescent="0.25">
      <c r="A1262" s="157"/>
      <c r="B1262" s="157"/>
      <c r="C1262" s="157"/>
      <c r="D1262" s="157"/>
      <c r="E1262" s="157"/>
      <c r="F1262" s="157"/>
    </row>
    <row r="1263" spans="1:6" ht="15.75" x14ac:dyDescent="0.25">
      <c r="A1263" s="157"/>
      <c r="B1263" s="157"/>
      <c r="C1263" s="157"/>
      <c r="D1263" s="157"/>
      <c r="E1263" s="157"/>
      <c r="F1263" s="157"/>
    </row>
    <row r="1264" spans="1:6" ht="15.75" x14ac:dyDescent="0.25">
      <c r="A1264" s="157"/>
      <c r="B1264" s="157"/>
      <c r="C1264" s="157"/>
      <c r="D1264" s="157"/>
      <c r="E1264" s="157"/>
      <c r="F1264" s="157"/>
    </row>
    <row r="1265" spans="1:6" ht="15.75" x14ac:dyDescent="0.25">
      <c r="A1265" s="157"/>
      <c r="B1265" s="157"/>
      <c r="C1265" s="157"/>
      <c r="D1265" s="157"/>
      <c r="E1265" s="157"/>
      <c r="F1265" s="157"/>
    </row>
    <row r="1266" spans="1:6" ht="15.75" x14ac:dyDescent="0.25">
      <c r="A1266" s="157"/>
      <c r="B1266" s="157"/>
      <c r="C1266" s="157"/>
      <c r="D1266" s="157"/>
      <c r="E1266" s="157"/>
      <c r="F1266" s="157"/>
    </row>
    <row r="1267" spans="1:6" ht="15.75" x14ac:dyDescent="0.25">
      <c r="A1267" s="157"/>
      <c r="B1267" s="157"/>
      <c r="C1267" s="157"/>
      <c r="D1267" s="157"/>
      <c r="E1267" s="157"/>
      <c r="F1267" s="157"/>
    </row>
    <row r="1268" spans="1:6" ht="15.75" x14ac:dyDescent="0.25">
      <c r="A1268" s="157"/>
      <c r="B1268" s="157"/>
      <c r="C1268" s="157"/>
      <c r="D1268" s="157"/>
      <c r="E1268" s="157"/>
      <c r="F1268" s="157"/>
    </row>
    <row r="1269" spans="1:6" ht="15.75" x14ac:dyDescent="0.25">
      <c r="A1269" s="157"/>
      <c r="B1269" s="157"/>
      <c r="C1269" s="157"/>
      <c r="D1269" s="157"/>
      <c r="E1269" s="157"/>
      <c r="F1269" s="157"/>
    </row>
    <row r="1270" spans="1:6" ht="15.75" x14ac:dyDescent="0.25">
      <c r="A1270" s="157"/>
      <c r="B1270" s="157"/>
      <c r="C1270" s="157"/>
      <c r="D1270" s="157"/>
      <c r="E1270" s="157"/>
      <c r="F1270" s="157"/>
    </row>
    <row r="1271" spans="1:6" ht="15.75" x14ac:dyDescent="0.25">
      <c r="A1271" s="157"/>
      <c r="B1271" s="157"/>
      <c r="C1271" s="157"/>
      <c r="D1271" s="157"/>
      <c r="E1271" s="157"/>
      <c r="F1271" s="157"/>
    </row>
    <row r="1272" spans="1:6" ht="15.75" x14ac:dyDescent="0.25">
      <c r="A1272" s="157"/>
      <c r="B1272" s="157"/>
      <c r="C1272" s="157"/>
      <c r="D1272" s="157"/>
      <c r="E1272" s="157"/>
      <c r="F1272" s="157"/>
    </row>
    <row r="1273" spans="1:6" ht="15.75" x14ac:dyDescent="0.25">
      <c r="A1273" s="157"/>
      <c r="B1273" s="157"/>
      <c r="C1273" s="157"/>
      <c r="D1273" s="157"/>
      <c r="E1273" s="157"/>
      <c r="F1273" s="157"/>
    </row>
    <row r="1274" spans="1:6" ht="15.75" x14ac:dyDescent="0.25">
      <c r="A1274" s="157"/>
      <c r="B1274" s="157"/>
      <c r="C1274" s="157"/>
      <c r="D1274" s="157"/>
      <c r="E1274" s="157"/>
      <c r="F1274" s="157"/>
    </row>
    <row r="1275" spans="1:6" ht="15.75" x14ac:dyDescent="0.25">
      <c r="A1275" s="157"/>
      <c r="B1275" s="157"/>
      <c r="C1275" s="157"/>
      <c r="D1275" s="157"/>
      <c r="E1275" s="157"/>
      <c r="F1275" s="157"/>
    </row>
    <row r="1276" spans="1:6" ht="15.75" x14ac:dyDescent="0.25">
      <c r="A1276" s="157"/>
      <c r="B1276" s="157"/>
      <c r="C1276" s="157"/>
      <c r="D1276" s="157"/>
      <c r="E1276" s="157"/>
      <c r="F1276" s="157"/>
    </row>
    <row r="1277" spans="1:6" ht="15.75" x14ac:dyDescent="0.25">
      <c r="A1277" s="157"/>
      <c r="B1277" s="157"/>
      <c r="C1277" s="157"/>
      <c r="D1277" s="157"/>
      <c r="E1277" s="157"/>
      <c r="F1277" s="157"/>
    </row>
    <row r="1278" spans="1:6" ht="15.75" x14ac:dyDescent="0.25">
      <c r="A1278" s="157"/>
      <c r="B1278" s="157"/>
      <c r="C1278" s="157"/>
      <c r="D1278" s="157"/>
      <c r="E1278" s="157"/>
      <c r="F1278" s="157"/>
    </row>
    <row r="1279" spans="1:6" ht="15.75" x14ac:dyDescent="0.25">
      <c r="A1279" s="157"/>
      <c r="B1279" s="157"/>
      <c r="C1279" s="157"/>
      <c r="D1279" s="157"/>
      <c r="E1279" s="157"/>
      <c r="F1279" s="157"/>
    </row>
    <row r="1280" spans="1:6" ht="15.75" x14ac:dyDescent="0.25">
      <c r="A1280" s="157"/>
      <c r="B1280" s="157"/>
      <c r="C1280" s="157"/>
      <c r="D1280" s="157"/>
      <c r="E1280" s="157"/>
      <c r="F1280" s="157"/>
    </row>
    <row r="1281" spans="1:6" ht="15.75" x14ac:dyDescent="0.25">
      <c r="A1281" s="157"/>
      <c r="B1281" s="157"/>
      <c r="C1281" s="157"/>
      <c r="D1281" s="157"/>
      <c r="E1281" s="157"/>
      <c r="F1281" s="157"/>
    </row>
    <row r="1282" spans="1:6" ht="15.75" x14ac:dyDescent="0.25">
      <c r="A1282" s="157"/>
      <c r="B1282" s="157"/>
      <c r="C1282" s="157"/>
      <c r="D1282" s="157"/>
      <c r="E1282" s="157"/>
      <c r="F1282" s="157"/>
    </row>
    <row r="1283" spans="1:6" ht="15.75" x14ac:dyDescent="0.25">
      <c r="A1283" s="157"/>
      <c r="B1283" s="157"/>
      <c r="C1283" s="157"/>
      <c r="D1283" s="157"/>
      <c r="E1283" s="157"/>
      <c r="F1283" s="157"/>
    </row>
    <row r="1284" spans="1:6" ht="15.75" x14ac:dyDescent="0.25">
      <c r="A1284" s="157"/>
      <c r="B1284" s="157"/>
      <c r="C1284" s="157"/>
      <c r="D1284" s="157"/>
      <c r="E1284" s="157"/>
      <c r="F1284" s="157"/>
    </row>
    <row r="1285" spans="1:6" ht="15.75" x14ac:dyDescent="0.25">
      <c r="A1285" s="157"/>
      <c r="B1285" s="157"/>
      <c r="C1285" s="157"/>
      <c r="D1285" s="157"/>
      <c r="E1285" s="157"/>
      <c r="F1285" s="157"/>
    </row>
    <row r="1286" spans="1:6" ht="15.75" x14ac:dyDescent="0.25">
      <c r="A1286" s="157"/>
      <c r="B1286" s="157"/>
      <c r="C1286" s="157"/>
      <c r="D1286" s="157"/>
      <c r="E1286" s="157"/>
      <c r="F1286" s="157"/>
    </row>
    <row r="1287" spans="1:6" ht="15.75" x14ac:dyDescent="0.25">
      <c r="A1287" s="157"/>
      <c r="B1287" s="157"/>
      <c r="C1287" s="157"/>
      <c r="D1287" s="157"/>
      <c r="E1287" s="157"/>
      <c r="F1287" s="157"/>
    </row>
    <row r="1288" spans="1:6" ht="15.75" x14ac:dyDescent="0.25">
      <c r="A1288" s="157"/>
      <c r="B1288" s="157"/>
      <c r="C1288" s="157"/>
      <c r="D1288" s="157"/>
      <c r="E1288" s="157"/>
      <c r="F1288" s="157"/>
    </row>
    <row r="1289" spans="1:6" ht="15.75" x14ac:dyDescent="0.25">
      <c r="A1289" s="157"/>
      <c r="B1289" s="157"/>
      <c r="C1289" s="157"/>
      <c r="D1289" s="157"/>
      <c r="E1289" s="157"/>
      <c r="F1289" s="157"/>
    </row>
    <row r="1290" spans="1:6" ht="15.75" x14ac:dyDescent="0.25">
      <c r="A1290" s="157"/>
      <c r="B1290" s="157"/>
      <c r="C1290" s="157"/>
      <c r="D1290" s="157"/>
      <c r="E1290" s="157"/>
      <c r="F1290" s="157"/>
    </row>
    <row r="1291" spans="1:6" ht="15.75" x14ac:dyDescent="0.25">
      <c r="A1291" s="157"/>
      <c r="B1291" s="157"/>
      <c r="C1291" s="157"/>
      <c r="D1291" s="157"/>
      <c r="E1291" s="157"/>
      <c r="F1291" s="157"/>
    </row>
    <row r="1292" spans="1:6" ht="15.75" x14ac:dyDescent="0.25">
      <c r="A1292" s="157"/>
      <c r="B1292" s="157"/>
      <c r="C1292" s="157"/>
      <c r="D1292" s="157"/>
      <c r="E1292" s="157"/>
      <c r="F1292" s="157"/>
    </row>
    <row r="1293" spans="1:6" ht="15.75" x14ac:dyDescent="0.25">
      <c r="A1293" s="157"/>
      <c r="B1293" s="157"/>
      <c r="C1293" s="157"/>
      <c r="D1293" s="157"/>
      <c r="E1293" s="157"/>
      <c r="F1293" s="157"/>
    </row>
    <row r="1294" spans="1:6" ht="15.75" x14ac:dyDescent="0.25">
      <c r="A1294" s="157"/>
      <c r="B1294" s="157"/>
      <c r="C1294" s="157"/>
      <c r="D1294" s="157"/>
      <c r="E1294" s="157"/>
      <c r="F1294" s="157"/>
    </row>
    <row r="1295" spans="1:6" ht="15.75" x14ac:dyDescent="0.25">
      <c r="A1295" s="157"/>
      <c r="B1295" s="157"/>
      <c r="C1295" s="157"/>
      <c r="D1295" s="157"/>
      <c r="E1295" s="157"/>
      <c r="F1295" s="157"/>
    </row>
    <row r="1296" spans="1:6" ht="15.75" x14ac:dyDescent="0.25">
      <c r="A1296" s="157"/>
      <c r="B1296" s="157"/>
      <c r="C1296" s="157"/>
      <c r="D1296" s="157"/>
      <c r="E1296" s="157"/>
      <c r="F1296" s="157"/>
    </row>
    <row r="1297" spans="1:6" ht="15.75" x14ac:dyDescent="0.25">
      <c r="A1297" s="157"/>
      <c r="B1297" s="157"/>
      <c r="C1297" s="157"/>
      <c r="D1297" s="157"/>
      <c r="E1297" s="157"/>
      <c r="F1297" s="157"/>
    </row>
    <row r="1298" spans="1:6" ht="15.75" x14ac:dyDescent="0.25">
      <c r="A1298" s="157"/>
      <c r="B1298" s="157"/>
      <c r="C1298" s="157"/>
      <c r="D1298" s="157"/>
      <c r="E1298" s="157"/>
      <c r="F1298" s="157"/>
    </row>
    <row r="1299" spans="1:6" ht="15.75" x14ac:dyDescent="0.25">
      <c r="A1299" s="157"/>
      <c r="B1299" s="157"/>
      <c r="C1299" s="157"/>
      <c r="D1299" s="157"/>
      <c r="E1299" s="157"/>
      <c r="F1299" s="157"/>
    </row>
    <row r="1300" spans="1:6" ht="15.75" x14ac:dyDescent="0.25">
      <c r="A1300" s="157"/>
      <c r="B1300" s="157"/>
      <c r="C1300" s="157"/>
      <c r="D1300" s="157"/>
      <c r="E1300" s="157"/>
      <c r="F1300" s="157"/>
    </row>
    <row r="1301" spans="1:6" ht="15.75" x14ac:dyDescent="0.25">
      <c r="A1301" s="157"/>
      <c r="B1301" s="157"/>
      <c r="C1301" s="157"/>
      <c r="D1301" s="157"/>
      <c r="E1301" s="157"/>
      <c r="F1301" s="157"/>
    </row>
    <row r="1302" spans="1:6" ht="15.75" x14ac:dyDescent="0.25">
      <c r="A1302" s="157"/>
      <c r="B1302" s="157"/>
      <c r="C1302" s="157"/>
      <c r="D1302" s="157"/>
      <c r="E1302" s="157"/>
      <c r="F1302" s="157"/>
    </row>
    <row r="1303" spans="1:6" ht="15.75" x14ac:dyDescent="0.25">
      <c r="A1303" s="157"/>
      <c r="B1303" s="157"/>
      <c r="C1303" s="157"/>
      <c r="D1303" s="157"/>
      <c r="E1303" s="157"/>
      <c r="F1303" s="157"/>
    </row>
    <row r="1304" spans="1:6" ht="15.75" x14ac:dyDescent="0.25">
      <c r="A1304" s="157"/>
      <c r="B1304" s="157"/>
      <c r="C1304" s="157"/>
      <c r="D1304" s="157"/>
      <c r="E1304" s="157"/>
      <c r="F1304" s="157"/>
    </row>
    <row r="1305" spans="1:6" ht="15.75" x14ac:dyDescent="0.25">
      <c r="A1305" s="157"/>
      <c r="B1305" s="157"/>
      <c r="C1305" s="157"/>
      <c r="D1305" s="157"/>
      <c r="E1305" s="157"/>
      <c r="F1305" s="157"/>
    </row>
    <row r="1306" spans="1:6" ht="15.75" x14ac:dyDescent="0.25">
      <c r="A1306" s="157"/>
      <c r="B1306" s="157"/>
      <c r="C1306" s="157"/>
      <c r="D1306" s="157"/>
      <c r="E1306" s="157"/>
      <c r="F1306" s="157"/>
    </row>
    <row r="1307" spans="1:6" ht="15.75" x14ac:dyDescent="0.25">
      <c r="A1307" s="157"/>
      <c r="B1307" s="157"/>
      <c r="C1307" s="157"/>
      <c r="D1307" s="157"/>
      <c r="E1307" s="157"/>
      <c r="F1307" s="157"/>
    </row>
    <row r="1308" spans="1:6" ht="15.75" x14ac:dyDescent="0.25">
      <c r="A1308" s="157"/>
      <c r="B1308" s="157"/>
      <c r="C1308" s="157"/>
      <c r="D1308" s="157"/>
      <c r="E1308" s="157"/>
      <c r="F1308" s="157"/>
    </row>
    <row r="1309" spans="1:6" ht="15.75" x14ac:dyDescent="0.25">
      <c r="A1309" s="157"/>
      <c r="B1309" s="157"/>
      <c r="C1309" s="157"/>
      <c r="D1309" s="157"/>
      <c r="E1309" s="157"/>
      <c r="F1309" s="157"/>
    </row>
    <row r="1310" spans="1:6" ht="15.75" x14ac:dyDescent="0.25">
      <c r="A1310" s="157"/>
      <c r="B1310" s="157"/>
      <c r="C1310" s="157"/>
      <c r="D1310" s="157"/>
      <c r="E1310" s="157"/>
      <c r="F1310" s="157"/>
    </row>
    <row r="1311" spans="1:6" ht="15.75" x14ac:dyDescent="0.25">
      <c r="A1311" s="157"/>
      <c r="B1311" s="157"/>
      <c r="C1311" s="157"/>
      <c r="D1311" s="157"/>
      <c r="E1311" s="157"/>
      <c r="F1311" s="157"/>
    </row>
    <row r="1312" spans="1:6" ht="15.75" x14ac:dyDescent="0.25">
      <c r="A1312" s="157"/>
      <c r="B1312" s="157"/>
      <c r="C1312" s="157"/>
      <c r="D1312" s="157"/>
      <c r="E1312" s="157"/>
      <c r="F1312" s="157"/>
    </row>
    <row r="1313" spans="1:6" ht="15.75" x14ac:dyDescent="0.25">
      <c r="A1313" s="157"/>
      <c r="B1313" s="157"/>
      <c r="C1313" s="157"/>
      <c r="D1313" s="157"/>
      <c r="E1313" s="157"/>
      <c r="F1313" s="157"/>
    </row>
    <row r="1314" spans="1:6" ht="15.75" x14ac:dyDescent="0.25">
      <c r="A1314" s="157"/>
      <c r="B1314" s="157"/>
      <c r="C1314" s="157"/>
      <c r="D1314" s="157"/>
      <c r="E1314" s="157"/>
      <c r="F1314" s="157"/>
    </row>
    <row r="1315" spans="1:6" ht="15.75" x14ac:dyDescent="0.25">
      <c r="A1315" s="157"/>
      <c r="B1315" s="157"/>
      <c r="C1315" s="157"/>
      <c r="D1315" s="157"/>
      <c r="E1315" s="157"/>
      <c r="F1315" s="157"/>
    </row>
    <row r="1316" spans="1:6" ht="15.75" x14ac:dyDescent="0.25">
      <c r="A1316" s="157"/>
      <c r="B1316" s="157"/>
      <c r="C1316" s="157"/>
      <c r="D1316" s="157"/>
      <c r="E1316" s="157"/>
      <c r="F1316" s="157"/>
    </row>
    <row r="1317" spans="1:6" ht="15.75" x14ac:dyDescent="0.25">
      <c r="A1317" s="157"/>
      <c r="B1317" s="157"/>
      <c r="C1317" s="157"/>
      <c r="D1317" s="157"/>
      <c r="E1317" s="157"/>
      <c r="F1317" s="157"/>
    </row>
    <row r="1318" spans="1:6" ht="15.75" x14ac:dyDescent="0.25">
      <c r="A1318" s="157"/>
      <c r="B1318" s="157"/>
      <c r="C1318" s="157"/>
      <c r="D1318" s="157"/>
      <c r="E1318" s="157"/>
      <c r="F1318" s="157"/>
    </row>
    <row r="1319" spans="1:6" ht="15.75" x14ac:dyDescent="0.25">
      <c r="A1319" s="157"/>
      <c r="B1319" s="157"/>
      <c r="C1319" s="157"/>
      <c r="D1319" s="157"/>
      <c r="E1319" s="157"/>
      <c r="F1319" s="157"/>
    </row>
    <row r="1320" spans="1:6" ht="15.75" x14ac:dyDescent="0.25">
      <c r="A1320" s="157"/>
      <c r="B1320" s="157"/>
      <c r="C1320" s="157"/>
      <c r="D1320" s="157"/>
      <c r="E1320" s="157"/>
      <c r="F1320" s="157"/>
    </row>
    <row r="1321" spans="1:6" ht="15.75" x14ac:dyDescent="0.25">
      <c r="A1321" s="157"/>
      <c r="B1321" s="157"/>
      <c r="C1321" s="157"/>
      <c r="D1321" s="157"/>
      <c r="E1321" s="157"/>
      <c r="F1321" s="157"/>
    </row>
    <row r="1322" spans="1:6" ht="15.75" x14ac:dyDescent="0.25">
      <c r="A1322" s="157"/>
      <c r="B1322" s="157"/>
      <c r="C1322" s="157"/>
      <c r="D1322" s="157"/>
      <c r="E1322" s="157"/>
      <c r="F1322" s="157"/>
    </row>
    <row r="1323" spans="1:6" ht="15.75" x14ac:dyDescent="0.25">
      <c r="A1323" s="157"/>
      <c r="B1323" s="157"/>
      <c r="C1323" s="157"/>
      <c r="D1323" s="157"/>
      <c r="E1323" s="157"/>
      <c r="F1323" s="157"/>
    </row>
    <row r="1324" spans="1:6" ht="15.75" x14ac:dyDescent="0.25">
      <c r="A1324" s="157"/>
      <c r="B1324" s="157"/>
      <c r="C1324" s="157"/>
      <c r="D1324" s="157"/>
      <c r="E1324" s="157"/>
      <c r="F1324" s="157"/>
    </row>
    <row r="1325" spans="1:6" ht="15.75" x14ac:dyDescent="0.25">
      <c r="A1325" s="157"/>
      <c r="B1325" s="157"/>
      <c r="C1325" s="157"/>
      <c r="D1325" s="157"/>
      <c r="E1325" s="157"/>
      <c r="F1325" s="157"/>
    </row>
    <row r="1326" spans="1:6" ht="15.75" x14ac:dyDescent="0.25">
      <c r="A1326" s="157"/>
      <c r="B1326" s="157"/>
      <c r="C1326" s="157"/>
      <c r="D1326" s="157"/>
      <c r="E1326" s="157"/>
      <c r="F1326" s="157"/>
    </row>
    <row r="1327" spans="1:6" ht="15.75" x14ac:dyDescent="0.25">
      <c r="A1327" s="157"/>
      <c r="B1327" s="157"/>
      <c r="C1327" s="157"/>
      <c r="D1327" s="157"/>
      <c r="E1327" s="157"/>
      <c r="F1327" s="157"/>
    </row>
    <row r="1328" spans="1:6" ht="15.75" x14ac:dyDescent="0.25">
      <c r="A1328" s="157"/>
      <c r="B1328" s="157"/>
      <c r="C1328" s="157"/>
      <c r="D1328" s="157"/>
      <c r="E1328" s="157"/>
      <c r="F1328" s="157"/>
    </row>
    <row r="1329" spans="1:6" ht="15.75" x14ac:dyDescent="0.25">
      <c r="A1329" s="157"/>
      <c r="B1329" s="157"/>
      <c r="C1329" s="157"/>
      <c r="D1329" s="157"/>
      <c r="E1329" s="157"/>
      <c r="F1329" s="157"/>
    </row>
    <row r="1330" spans="1:6" ht="15.75" x14ac:dyDescent="0.25">
      <c r="A1330" s="157"/>
      <c r="B1330" s="157"/>
      <c r="C1330" s="157"/>
      <c r="D1330" s="157"/>
      <c r="E1330" s="157"/>
      <c r="F1330" s="157"/>
    </row>
    <row r="1331" spans="1:6" ht="15.75" x14ac:dyDescent="0.25">
      <c r="A1331" s="157"/>
      <c r="B1331" s="157"/>
      <c r="C1331" s="157"/>
      <c r="D1331" s="157"/>
      <c r="E1331" s="157"/>
      <c r="F1331" s="157"/>
    </row>
    <row r="1332" spans="1:6" ht="15.75" x14ac:dyDescent="0.25">
      <c r="A1332" s="157"/>
      <c r="B1332" s="157"/>
      <c r="C1332" s="157"/>
      <c r="D1332" s="157"/>
      <c r="E1332" s="157"/>
      <c r="F1332" s="157"/>
    </row>
    <row r="1333" spans="1:6" ht="15.75" x14ac:dyDescent="0.25">
      <c r="A1333" s="157"/>
      <c r="B1333" s="157"/>
      <c r="C1333" s="157"/>
      <c r="D1333" s="157"/>
      <c r="E1333" s="157"/>
      <c r="F1333" s="157"/>
    </row>
    <row r="1334" spans="1:6" ht="15.75" x14ac:dyDescent="0.25">
      <c r="A1334" s="157"/>
      <c r="B1334" s="157"/>
      <c r="C1334" s="157"/>
      <c r="D1334" s="157"/>
      <c r="E1334" s="157"/>
      <c r="F1334" s="157"/>
    </row>
    <row r="1335" spans="1:6" ht="15.75" x14ac:dyDescent="0.25">
      <c r="A1335" s="157"/>
      <c r="B1335" s="157"/>
      <c r="C1335" s="157"/>
      <c r="D1335" s="157"/>
      <c r="E1335" s="157"/>
      <c r="F1335" s="157"/>
    </row>
    <row r="1336" spans="1:6" ht="15.75" x14ac:dyDescent="0.25">
      <c r="A1336" s="157"/>
      <c r="B1336" s="157"/>
      <c r="C1336" s="157"/>
      <c r="D1336" s="157"/>
      <c r="E1336" s="157"/>
      <c r="F1336" s="157"/>
    </row>
    <row r="1337" spans="1:6" ht="15.75" x14ac:dyDescent="0.25">
      <c r="A1337" s="157"/>
      <c r="B1337" s="157"/>
      <c r="C1337" s="157"/>
      <c r="D1337" s="157"/>
      <c r="E1337" s="157"/>
      <c r="F1337" s="157"/>
    </row>
    <row r="1338" spans="1:6" ht="15.75" x14ac:dyDescent="0.25">
      <c r="A1338" s="157"/>
      <c r="B1338" s="157"/>
      <c r="C1338" s="157"/>
      <c r="D1338" s="157"/>
      <c r="E1338" s="157"/>
      <c r="F1338" s="157"/>
    </row>
    <row r="1339" spans="1:6" ht="15.75" x14ac:dyDescent="0.25">
      <c r="A1339" s="157"/>
      <c r="B1339" s="157"/>
      <c r="C1339" s="157"/>
      <c r="D1339" s="157"/>
      <c r="E1339" s="157"/>
      <c r="F1339" s="157"/>
    </row>
    <row r="1340" spans="1:6" ht="15.75" x14ac:dyDescent="0.25">
      <c r="A1340" s="157"/>
      <c r="B1340" s="157"/>
      <c r="C1340" s="157"/>
      <c r="D1340" s="157"/>
      <c r="E1340" s="157"/>
      <c r="F1340" s="157"/>
    </row>
    <row r="1341" spans="1:6" ht="15.75" x14ac:dyDescent="0.25">
      <c r="A1341" s="157"/>
      <c r="B1341" s="157"/>
      <c r="C1341" s="157"/>
      <c r="D1341" s="157"/>
      <c r="E1341" s="157"/>
      <c r="F1341" s="157"/>
    </row>
    <row r="1342" spans="1:6" ht="15.75" x14ac:dyDescent="0.25">
      <c r="A1342" s="157"/>
      <c r="B1342" s="157"/>
      <c r="C1342" s="157"/>
      <c r="D1342" s="157"/>
      <c r="E1342" s="157"/>
      <c r="F1342" s="157"/>
    </row>
    <row r="1343" spans="1:6" ht="15.75" x14ac:dyDescent="0.25">
      <c r="A1343" s="157"/>
      <c r="B1343" s="157"/>
      <c r="C1343" s="157"/>
      <c r="D1343" s="157"/>
      <c r="E1343" s="157"/>
      <c r="F1343" s="157"/>
    </row>
    <row r="1344" spans="1:6" ht="15.75" x14ac:dyDescent="0.25">
      <c r="A1344" s="157"/>
      <c r="B1344" s="157"/>
      <c r="C1344" s="157"/>
      <c r="D1344" s="157"/>
      <c r="E1344" s="157"/>
      <c r="F1344" s="157"/>
    </row>
    <row r="1345" spans="1:6" ht="15.75" x14ac:dyDescent="0.25">
      <c r="A1345" s="157"/>
      <c r="B1345" s="157"/>
      <c r="C1345" s="157"/>
      <c r="D1345" s="157"/>
      <c r="E1345" s="157"/>
      <c r="F1345" s="157"/>
    </row>
    <row r="1346" spans="1:6" ht="15.75" x14ac:dyDescent="0.25">
      <c r="A1346" s="157"/>
      <c r="B1346" s="157"/>
      <c r="C1346" s="157"/>
      <c r="D1346" s="157"/>
      <c r="E1346" s="157"/>
      <c r="F1346" s="157"/>
    </row>
    <row r="1347" spans="1:6" ht="15.75" x14ac:dyDescent="0.25">
      <c r="A1347" s="157"/>
      <c r="B1347" s="157"/>
      <c r="C1347" s="157"/>
      <c r="D1347" s="157"/>
      <c r="E1347" s="157"/>
      <c r="F1347" s="157"/>
    </row>
    <row r="1348" spans="1:6" ht="15.75" x14ac:dyDescent="0.25">
      <c r="A1348" s="157"/>
      <c r="B1348" s="157"/>
      <c r="C1348" s="157"/>
      <c r="D1348" s="157"/>
      <c r="E1348" s="157"/>
      <c r="F1348" s="157"/>
    </row>
    <row r="1349" spans="1:6" ht="15.75" x14ac:dyDescent="0.25">
      <c r="A1349" s="157"/>
      <c r="B1349" s="157"/>
      <c r="C1349" s="157"/>
      <c r="D1349" s="157"/>
      <c r="E1349" s="157"/>
      <c r="F1349" s="157"/>
    </row>
    <row r="1350" spans="1:6" ht="15.75" x14ac:dyDescent="0.25">
      <c r="A1350" s="157"/>
      <c r="B1350" s="157"/>
      <c r="C1350" s="157"/>
      <c r="D1350" s="157"/>
      <c r="E1350" s="157"/>
      <c r="F1350" s="157"/>
    </row>
    <row r="1351" spans="1:6" ht="15.75" x14ac:dyDescent="0.25">
      <c r="A1351" s="157"/>
      <c r="B1351" s="157"/>
      <c r="C1351" s="157"/>
      <c r="D1351" s="157"/>
      <c r="E1351" s="157"/>
      <c r="F1351" s="157"/>
    </row>
    <row r="1352" spans="1:6" ht="15.75" x14ac:dyDescent="0.25">
      <c r="A1352" s="157"/>
      <c r="B1352" s="157"/>
      <c r="C1352" s="157"/>
      <c r="D1352" s="157"/>
      <c r="E1352" s="157"/>
      <c r="F1352" s="157"/>
    </row>
    <row r="1353" spans="1:6" ht="15.75" x14ac:dyDescent="0.25">
      <c r="A1353" s="157"/>
      <c r="B1353" s="157"/>
      <c r="C1353" s="157"/>
      <c r="D1353" s="157"/>
      <c r="E1353" s="157"/>
      <c r="F1353" s="157"/>
    </row>
    <row r="1354" spans="1:6" ht="15.75" x14ac:dyDescent="0.25">
      <c r="A1354" s="157"/>
      <c r="B1354" s="157"/>
      <c r="C1354" s="157"/>
      <c r="D1354" s="157"/>
      <c r="E1354" s="157"/>
      <c r="F1354" s="157"/>
    </row>
    <row r="1355" spans="1:6" ht="15.75" x14ac:dyDescent="0.25">
      <c r="A1355" s="157"/>
      <c r="B1355" s="157"/>
      <c r="C1355" s="157"/>
      <c r="D1355" s="157"/>
      <c r="E1355" s="157"/>
      <c r="F1355" s="157"/>
    </row>
    <row r="1356" spans="1:6" ht="15.75" x14ac:dyDescent="0.25">
      <c r="A1356" s="157"/>
      <c r="B1356" s="157"/>
      <c r="C1356" s="157"/>
      <c r="D1356" s="157"/>
      <c r="E1356" s="157"/>
      <c r="F1356" s="157"/>
    </row>
    <row r="1357" spans="1:6" ht="15.75" x14ac:dyDescent="0.25">
      <c r="A1357" s="157"/>
      <c r="B1357" s="157"/>
      <c r="C1357" s="157"/>
      <c r="D1357" s="157"/>
      <c r="E1357" s="157"/>
      <c r="F1357" s="157"/>
    </row>
    <row r="1358" spans="1:6" ht="15.75" x14ac:dyDescent="0.25">
      <c r="A1358" s="157"/>
      <c r="B1358" s="157"/>
      <c r="C1358" s="157"/>
      <c r="D1358" s="157"/>
      <c r="E1358" s="157"/>
      <c r="F1358" s="157"/>
    </row>
    <row r="1359" spans="1:6" ht="15.75" x14ac:dyDescent="0.25">
      <c r="A1359" s="157"/>
      <c r="B1359" s="157"/>
      <c r="C1359" s="157"/>
      <c r="D1359" s="157"/>
      <c r="E1359" s="157"/>
      <c r="F1359" s="157"/>
    </row>
    <row r="1360" spans="1:6" ht="15.75" x14ac:dyDescent="0.25">
      <c r="A1360" s="157"/>
      <c r="B1360" s="157"/>
      <c r="C1360" s="157"/>
      <c r="D1360" s="157"/>
      <c r="E1360" s="157"/>
      <c r="F1360" s="157"/>
    </row>
    <row r="1361" spans="1:6" ht="15.75" x14ac:dyDescent="0.25">
      <c r="A1361" s="157"/>
      <c r="B1361" s="157"/>
      <c r="C1361" s="157"/>
      <c r="D1361" s="157"/>
      <c r="E1361" s="157"/>
      <c r="F1361" s="157"/>
    </row>
    <row r="1362" spans="1:6" ht="15.75" x14ac:dyDescent="0.25">
      <c r="A1362" s="157"/>
      <c r="B1362" s="157"/>
      <c r="C1362" s="157"/>
      <c r="D1362" s="157"/>
      <c r="E1362" s="157"/>
      <c r="F1362" s="157"/>
    </row>
    <row r="1363" spans="1:6" ht="15.75" x14ac:dyDescent="0.25">
      <c r="A1363" s="157"/>
      <c r="B1363" s="157"/>
      <c r="C1363" s="157"/>
      <c r="D1363" s="157"/>
      <c r="E1363" s="157"/>
      <c r="F1363" s="157"/>
    </row>
    <row r="1364" spans="1:6" ht="15.75" x14ac:dyDescent="0.25">
      <c r="A1364" s="157"/>
      <c r="B1364" s="157"/>
      <c r="C1364" s="157"/>
      <c r="D1364" s="157"/>
      <c r="E1364" s="157"/>
      <c r="F1364" s="157"/>
    </row>
    <row r="1365" spans="1:6" ht="15.75" x14ac:dyDescent="0.25">
      <c r="A1365" s="157"/>
      <c r="B1365" s="157"/>
      <c r="C1365" s="157"/>
      <c r="D1365" s="157"/>
      <c r="E1365" s="157"/>
      <c r="F1365" s="157"/>
    </row>
    <row r="1366" spans="1:6" ht="15.75" x14ac:dyDescent="0.25">
      <c r="A1366" s="157"/>
      <c r="B1366" s="157"/>
      <c r="C1366" s="157"/>
      <c r="D1366" s="157"/>
      <c r="E1366" s="157"/>
      <c r="F1366" s="157"/>
    </row>
    <row r="1367" spans="1:6" ht="15.75" x14ac:dyDescent="0.25">
      <c r="A1367" s="157"/>
      <c r="B1367" s="157"/>
      <c r="C1367" s="157"/>
      <c r="D1367" s="157"/>
      <c r="E1367" s="157"/>
      <c r="F1367" s="157"/>
    </row>
    <row r="1368" spans="1:6" ht="15.75" x14ac:dyDescent="0.25">
      <c r="A1368" s="157"/>
      <c r="B1368" s="157"/>
      <c r="C1368" s="157"/>
      <c r="D1368" s="157"/>
      <c r="E1368" s="157"/>
      <c r="F1368" s="157"/>
    </row>
    <row r="1369" spans="1:6" ht="15.75" x14ac:dyDescent="0.25">
      <c r="A1369" s="157"/>
      <c r="B1369" s="157"/>
      <c r="C1369" s="157"/>
      <c r="D1369" s="157"/>
      <c r="E1369" s="157"/>
      <c r="F1369" s="157"/>
    </row>
    <row r="1370" spans="1:6" ht="15.75" x14ac:dyDescent="0.25">
      <c r="A1370" s="157"/>
      <c r="B1370" s="157"/>
      <c r="C1370" s="157"/>
      <c r="D1370" s="157"/>
      <c r="E1370" s="157"/>
      <c r="F1370" s="157"/>
    </row>
    <row r="1371" spans="1:6" ht="15.75" x14ac:dyDescent="0.25">
      <c r="A1371" s="157"/>
      <c r="B1371" s="157"/>
      <c r="C1371" s="157"/>
      <c r="D1371" s="157"/>
      <c r="E1371" s="157"/>
      <c r="F1371" s="157"/>
    </row>
    <row r="1372" spans="1:6" ht="15.75" x14ac:dyDescent="0.25">
      <c r="A1372" s="157"/>
      <c r="B1372" s="157"/>
      <c r="C1372" s="157"/>
      <c r="D1372" s="157"/>
      <c r="E1372" s="157"/>
      <c r="F1372" s="157"/>
    </row>
    <row r="1373" spans="1:6" ht="15.75" x14ac:dyDescent="0.25">
      <c r="A1373" s="157"/>
      <c r="B1373" s="157"/>
      <c r="C1373" s="157"/>
      <c r="D1373" s="157"/>
      <c r="E1373" s="157"/>
      <c r="F1373" s="157"/>
    </row>
    <row r="1374" spans="1:6" ht="15.75" x14ac:dyDescent="0.25">
      <c r="A1374" s="157"/>
      <c r="B1374" s="157"/>
      <c r="C1374" s="157"/>
      <c r="D1374" s="157"/>
      <c r="E1374" s="157"/>
      <c r="F1374" s="157"/>
    </row>
    <row r="1375" spans="1:6" ht="15.75" x14ac:dyDescent="0.25">
      <c r="A1375" s="157"/>
      <c r="B1375" s="157"/>
      <c r="C1375" s="157"/>
      <c r="D1375" s="157"/>
      <c r="E1375" s="157"/>
      <c r="F1375" s="157"/>
    </row>
    <row r="1376" spans="1:6" ht="15.75" x14ac:dyDescent="0.25">
      <c r="A1376" s="157"/>
      <c r="B1376" s="157"/>
      <c r="C1376" s="157"/>
      <c r="D1376" s="157"/>
      <c r="E1376" s="157"/>
      <c r="F1376" s="157"/>
    </row>
    <row r="1377" spans="1:6" ht="15.75" x14ac:dyDescent="0.25">
      <c r="A1377" s="157"/>
      <c r="B1377" s="157"/>
      <c r="C1377" s="157"/>
      <c r="D1377" s="157"/>
      <c r="E1377" s="157"/>
      <c r="F1377" s="157"/>
    </row>
    <row r="1378" spans="1:6" ht="15.75" x14ac:dyDescent="0.25">
      <c r="A1378" s="157"/>
      <c r="B1378" s="157"/>
      <c r="C1378" s="157"/>
      <c r="D1378" s="157"/>
      <c r="E1378" s="157"/>
      <c r="F1378" s="157"/>
    </row>
    <row r="1379" spans="1:6" ht="15.75" x14ac:dyDescent="0.25">
      <c r="A1379" s="157"/>
      <c r="B1379" s="157"/>
      <c r="C1379" s="157"/>
      <c r="D1379" s="157"/>
      <c r="E1379" s="157"/>
      <c r="F1379" s="157"/>
    </row>
    <row r="1380" spans="1:6" ht="15.75" x14ac:dyDescent="0.25">
      <c r="A1380" s="157"/>
      <c r="B1380" s="157"/>
      <c r="C1380" s="157"/>
      <c r="D1380" s="157"/>
      <c r="E1380" s="157"/>
      <c r="F1380" s="157"/>
    </row>
    <row r="1381" spans="1:6" ht="15.75" x14ac:dyDescent="0.25">
      <c r="A1381" s="157"/>
      <c r="B1381" s="157"/>
      <c r="C1381" s="157"/>
      <c r="D1381" s="157"/>
      <c r="E1381" s="157"/>
      <c r="F1381" s="157"/>
    </row>
    <row r="1382" spans="1:6" ht="15.75" x14ac:dyDescent="0.25">
      <c r="A1382" s="157"/>
      <c r="B1382" s="157"/>
      <c r="C1382" s="157"/>
      <c r="D1382" s="157"/>
      <c r="E1382" s="157"/>
      <c r="F1382" s="157"/>
    </row>
    <row r="1383" spans="1:6" ht="15.75" x14ac:dyDescent="0.25">
      <c r="A1383" s="157"/>
      <c r="B1383" s="157"/>
      <c r="C1383" s="157"/>
      <c r="D1383" s="157"/>
      <c r="E1383" s="157"/>
      <c r="F1383" s="157"/>
    </row>
    <row r="1384" spans="1:6" ht="15.75" x14ac:dyDescent="0.25">
      <c r="A1384" s="157"/>
      <c r="B1384" s="157"/>
      <c r="C1384" s="157"/>
      <c r="D1384" s="157"/>
      <c r="E1384" s="157"/>
      <c r="F1384" s="157"/>
    </row>
    <row r="1385" spans="1:6" ht="15.75" x14ac:dyDescent="0.25">
      <c r="A1385" s="157"/>
      <c r="B1385" s="157"/>
      <c r="C1385" s="157"/>
      <c r="D1385" s="157"/>
      <c r="E1385" s="157"/>
      <c r="F1385" s="157"/>
    </row>
    <row r="1386" spans="1:6" ht="15.75" x14ac:dyDescent="0.25">
      <c r="A1386" s="157"/>
      <c r="B1386" s="157"/>
      <c r="C1386" s="157"/>
      <c r="D1386" s="157"/>
      <c r="E1386" s="157"/>
      <c r="F1386" s="157"/>
    </row>
    <row r="1387" spans="1:6" ht="15.75" x14ac:dyDescent="0.25">
      <c r="A1387" s="157"/>
      <c r="B1387" s="157"/>
      <c r="C1387" s="157"/>
      <c r="D1387" s="157"/>
      <c r="E1387" s="157"/>
      <c r="F1387" s="157"/>
    </row>
    <row r="1388" spans="1:6" ht="15.75" x14ac:dyDescent="0.25">
      <c r="A1388" s="157"/>
      <c r="B1388" s="157"/>
      <c r="C1388" s="157"/>
      <c r="D1388" s="157"/>
      <c r="E1388" s="157"/>
      <c r="F1388" s="157"/>
    </row>
    <row r="1389" spans="1:6" ht="15.75" x14ac:dyDescent="0.25">
      <c r="A1389" s="157"/>
      <c r="B1389" s="157"/>
      <c r="C1389" s="157"/>
      <c r="D1389" s="157"/>
      <c r="E1389" s="157"/>
      <c r="F1389" s="157"/>
    </row>
    <row r="1390" spans="1:6" ht="15.75" x14ac:dyDescent="0.25">
      <c r="A1390" s="157"/>
      <c r="B1390" s="157"/>
      <c r="C1390" s="157"/>
      <c r="D1390" s="157"/>
      <c r="E1390" s="157"/>
      <c r="F1390" s="157"/>
    </row>
    <row r="1391" spans="1:6" ht="15.75" x14ac:dyDescent="0.25">
      <c r="A1391" s="157"/>
      <c r="B1391" s="157"/>
      <c r="C1391" s="157"/>
      <c r="D1391" s="157"/>
      <c r="E1391" s="157"/>
      <c r="F1391" s="157"/>
    </row>
    <row r="1392" spans="1:6" ht="15.75" x14ac:dyDescent="0.25">
      <c r="A1392" s="157"/>
      <c r="B1392" s="157"/>
      <c r="C1392" s="157"/>
      <c r="D1392" s="157"/>
      <c r="E1392" s="157"/>
      <c r="F1392" s="157"/>
    </row>
    <row r="1393" spans="1:6" ht="15.75" x14ac:dyDescent="0.25">
      <c r="A1393" s="157"/>
      <c r="B1393" s="157"/>
      <c r="C1393" s="157"/>
      <c r="D1393" s="157"/>
      <c r="E1393" s="157"/>
      <c r="F1393" s="157"/>
    </row>
    <row r="1394" spans="1:6" ht="15.75" x14ac:dyDescent="0.25">
      <c r="A1394" s="157"/>
      <c r="B1394" s="157"/>
      <c r="C1394" s="157"/>
      <c r="D1394" s="157"/>
      <c r="E1394" s="157"/>
      <c r="F1394" s="157"/>
    </row>
    <row r="1395" spans="1:6" ht="15.75" x14ac:dyDescent="0.25">
      <c r="A1395" s="157"/>
      <c r="B1395" s="157"/>
      <c r="C1395" s="157"/>
      <c r="D1395" s="157"/>
      <c r="E1395" s="157"/>
      <c r="F1395" s="157"/>
    </row>
    <row r="1396" spans="1:6" ht="15.75" x14ac:dyDescent="0.25">
      <c r="A1396" s="157"/>
      <c r="B1396" s="157"/>
      <c r="C1396" s="157"/>
      <c r="D1396" s="157"/>
      <c r="E1396" s="157"/>
      <c r="F1396" s="157"/>
    </row>
    <row r="1397" spans="1:6" ht="15.75" x14ac:dyDescent="0.25">
      <c r="A1397" s="157"/>
      <c r="B1397" s="157"/>
      <c r="C1397" s="157"/>
      <c r="D1397" s="157"/>
      <c r="E1397" s="157"/>
      <c r="F1397" s="157"/>
    </row>
    <row r="1398" spans="1:6" ht="15.75" x14ac:dyDescent="0.25">
      <c r="A1398" s="157"/>
      <c r="B1398" s="157"/>
      <c r="C1398" s="157"/>
      <c r="D1398" s="157"/>
      <c r="E1398" s="157"/>
      <c r="F1398" s="157"/>
    </row>
    <row r="1399" spans="1:6" ht="15.75" x14ac:dyDescent="0.25">
      <c r="A1399" s="157"/>
      <c r="B1399" s="157"/>
      <c r="C1399" s="157"/>
      <c r="D1399" s="157"/>
      <c r="E1399" s="157"/>
      <c r="F1399" s="157"/>
    </row>
    <row r="1400" spans="1:6" ht="15.75" x14ac:dyDescent="0.25">
      <c r="A1400" s="157"/>
      <c r="B1400" s="157"/>
      <c r="C1400" s="157"/>
      <c r="D1400" s="157"/>
      <c r="E1400" s="157"/>
      <c r="F1400" s="157"/>
    </row>
    <row r="1401" spans="1:6" ht="15.75" x14ac:dyDescent="0.25">
      <c r="A1401" s="157"/>
      <c r="B1401" s="157"/>
      <c r="C1401" s="157"/>
      <c r="D1401" s="157"/>
      <c r="E1401" s="157"/>
      <c r="F1401" s="157"/>
    </row>
    <row r="1402" spans="1:6" ht="15.75" x14ac:dyDescent="0.25">
      <c r="A1402" s="157"/>
      <c r="B1402" s="157"/>
      <c r="C1402" s="157"/>
      <c r="D1402" s="157"/>
      <c r="E1402" s="157"/>
      <c r="F1402" s="157"/>
    </row>
    <row r="1403" spans="1:6" ht="15.75" x14ac:dyDescent="0.25">
      <c r="A1403" s="157"/>
      <c r="B1403" s="157"/>
      <c r="C1403" s="157"/>
      <c r="D1403" s="157"/>
      <c r="E1403" s="157"/>
      <c r="F1403" s="157"/>
    </row>
    <row r="1404" spans="1:6" ht="15.75" x14ac:dyDescent="0.25">
      <c r="A1404" s="157"/>
      <c r="B1404" s="157"/>
      <c r="C1404" s="157"/>
      <c r="D1404" s="157"/>
      <c r="E1404" s="157"/>
      <c r="F1404" s="157"/>
    </row>
    <row r="1405" spans="1:6" ht="15.75" x14ac:dyDescent="0.25">
      <c r="A1405" s="157"/>
      <c r="B1405" s="157"/>
      <c r="C1405" s="157"/>
      <c r="D1405" s="157"/>
      <c r="E1405" s="157"/>
      <c r="F1405" s="157"/>
    </row>
    <row r="1406" spans="1:6" ht="15.75" x14ac:dyDescent="0.25">
      <c r="A1406" s="157"/>
      <c r="B1406" s="157"/>
      <c r="C1406" s="157"/>
      <c r="D1406" s="157"/>
      <c r="E1406" s="157"/>
      <c r="F1406" s="157"/>
    </row>
    <row r="1407" spans="1:6" ht="15.75" x14ac:dyDescent="0.25">
      <c r="A1407" s="157"/>
      <c r="B1407" s="157"/>
      <c r="C1407" s="157"/>
      <c r="D1407" s="157"/>
      <c r="E1407" s="157"/>
      <c r="F1407" s="157"/>
    </row>
    <row r="1408" spans="1:6" ht="15.75" x14ac:dyDescent="0.25">
      <c r="A1408" s="157"/>
      <c r="B1408" s="157"/>
      <c r="C1408" s="157"/>
      <c r="D1408" s="157"/>
      <c r="E1408" s="157"/>
      <c r="F1408" s="157"/>
    </row>
    <row r="1409" spans="1:6" ht="15.75" x14ac:dyDescent="0.25">
      <c r="A1409" s="157"/>
      <c r="B1409" s="157"/>
      <c r="C1409" s="157"/>
      <c r="D1409" s="157"/>
      <c r="E1409" s="157"/>
      <c r="F1409" s="157"/>
    </row>
    <row r="1410" spans="1:6" ht="15.75" x14ac:dyDescent="0.25">
      <c r="A1410" s="157"/>
      <c r="B1410" s="157"/>
      <c r="C1410" s="157"/>
      <c r="D1410" s="157"/>
      <c r="E1410" s="157"/>
      <c r="F1410" s="157"/>
    </row>
    <row r="1411" spans="1:6" ht="15.75" x14ac:dyDescent="0.25">
      <c r="A1411" s="157"/>
      <c r="B1411" s="157"/>
      <c r="C1411" s="157"/>
      <c r="D1411" s="157"/>
      <c r="E1411" s="157"/>
      <c r="F1411" s="157"/>
    </row>
    <row r="1412" spans="1:6" ht="15.75" x14ac:dyDescent="0.25">
      <c r="A1412" s="157"/>
      <c r="B1412" s="157"/>
      <c r="C1412" s="157"/>
      <c r="D1412" s="157"/>
      <c r="E1412" s="157"/>
      <c r="F1412" s="157"/>
    </row>
    <row r="1413" spans="1:6" ht="15.75" x14ac:dyDescent="0.25">
      <c r="A1413" s="157"/>
      <c r="B1413" s="157"/>
      <c r="C1413" s="157"/>
      <c r="D1413" s="157"/>
      <c r="E1413" s="157"/>
      <c r="F1413" s="157"/>
    </row>
    <row r="1414" spans="1:6" ht="15.75" x14ac:dyDescent="0.25">
      <c r="A1414" s="157"/>
      <c r="B1414" s="157"/>
      <c r="C1414" s="157"/>
      <c r="D1414" s="157"/>
      <c r="E1414" s="157"/>
      <c r="F1414" s="157"/>
    </row>
    <row r="1415" spans="1:6" ht="15.75" x14ac:dyDescent="0.25">
      <c r="A1415" s="157"/>
      <c r="B1415" s="157"/>
      <c r="C1415" s="157"/>
      <c r="D1415" s="157"/>
      <c r="E1415" s="157"/>
      <c r="F1415" s="157"/>
    </row>
    <row r="1416" spans="1:6" ht="15.75" x14ac:dyDescent="0.25">
      <c r="A1416" s="157"/>
      <c r="B1416" s="157"/>
      <c r="C1416" s="157"/>
      <c r="D1416" s="157"/>
      <c r="E1416" s="157"/>
      <c r="F1416" s="157"/>
    </row>
    <row r="1417" spans="1:6" ht="15.75" x14ac:dyDescent="0.25">
      <c r="A1417" s="157"/>
      <c r="B1417" s="157"/>
      <c r="C1417" s="157"/>
      <c r="D1417" s="157"/>
      <c r="E1417" s="157"/>
      <c r="F1417" s="157"/>
    </row>
    <row r="1418" spans="1:6" ht="15.75" x14ac:dyDescent="0.25">
      <c r="A1418" s="157"/>
      <c r="B1418" s="157"/>
      <c r="C1418" s="157"/>
      <c r="D1418" s="157"/>
      <c r="E1418" s="157"/>
      <c r="F1418" s="157"/>
    </row>
    <row r="1419" spans="1:6" ht="15.75" x14ac:dyDescent="0.25">
      <c r="A1419" s="157"/>
      <c r="B1419" s="157"/>
      <c r="C1419" s="157"/>
      <c r="D1419" s="157"/>
      <c r="E1419" s="157"/>
      <c r="F1419" s="157"/>
    </row>
    <row r="1420" spans="1:6" ht="15.75" x14ac:dyDescent="0.25">
      <c r="A1420" s="157"/>
      <c r="B1420" s="157"/>
      <c r="C1420" s="157"/>
      <c r="D1420" s="157"/>
      <c r="E1420" s="157"/>
      <c r="F1420" s="157"/>
    </row>
    <row r="1421" spans="1:6" ht="15.75" x14ac:dyDescent="0.25">
      <c r="A1421" s="157"/>
      <c r="B1421" s="157"/>
      <c r="C1421" s="157"/>
      <c r="D1421" s="157"/>
      <c r="E1421" s="157"/>
      <c r="F1421" s="157"/>
    </row>
    <row r="1422" spans="1:6" ht="15.75" x14ac:dyDescent="0.25">
      <c r="A1422" s="157"/>
      <c r="B1422" s="157"/>
      <c r="C1422" s="157"/>
      <c r="D1422" s="157"/>
      <c r="E1422" s="157"/>
      <c r="F1422" s="157"/>
    </row>
    <row r="1423" spans="1:6" ht="15.75" x14ac:dyDescent="0.25">
      <c r="A1423" s="157"/>
      <c r="B1423" s="157"/>
      <c r="C1423" s="157"/>
      <c r="D1423" s="157"/>
      <c r="E1423" s="157"/>
      <c r="F1423" s="157"/>
    </row>
    <row r="1424" spans="1:6" ht="15.75" x14ac:dyDescent="0.25">
      <c r="A1424" s="157"/>
      <c r="B1424" s="157"/>
      <c r="C1424" s="157"/>
      <c r="D1424" s="157"/>
      <c r="E1424" s="157"/>
      <c r="F1424" s="157"/>
    </row>
    <row r="1425" spans="1:6" ht="15.75" x14ac:dyDescent="0.25">
      <c r="A1425" s="157"/>
      <c r="B1425" s="157"/>
      <c r="C1425" s="157"/>
      <c r="D1425" s="157"/>
      <c r="E1425" s="157"/>
      <c r="F1425" s="157"/>
    </row>
    <row r="1426" spans="1:6" ht="15.75" x14ac:dyDescent="0.25">
      <c r="A1426" s="157"/>
      <c r="B1426" s="157"/>
      <c r="C1426" s="157"/>
      <c r="D1426" s="157"/>
      <c r="E1426" s="157"/>
      <c r="F1426" s="157"/>
    </row>
    <row r="1427" spans="1:6" ht="15.75" x14ac:dyDescent="0.25">
      <c r="A1427" s="157"/>
      <c r="B1427" s="157"/>
      <c r="C1427" s="157"/>
      <c r="D1427" s="157"/>
      <c r="E1427" s="157"/>
      <c r="F1427" s="157"/>
    </row>
    <row r="1428" spans="1:6" ht="15.75" x14ac:dyDescent="0.25">
      <c r="A1428" s="157"/>
      <c r="B1428" s="157"/>
      <c r="C1428" s="157"/>
      <c r="D1428" s="157"/>
      <c r="E1428" s="157"/>
      <c r="F1428" s="157"/>
    </row>
    <row r="1429" spans="1:6" ht="15.75" x14ac:dyDescent="0.25">
      <c r="A1429" s="157"/>
      <c r="B1429" s="157"/>
      <c r="C1429" s="157"/>
      <c r="D1429" s="157"/>
      <c r="E1429" s="157"/>
      <c r="F1429" s="157"/>
    </row>
    <row r="1430" spans="1:6" ht="15.75" x14ac:dyDescent="0.25">
      <c r="A1430" s="157"/>
      <c r="B1430" s="157"/>
      <c r="C1430" s="157"/>
      <c r="D1430" s="157"/>
      <c r="E1430" s="157"/>
      <c r="F1430" s="157"/>
    </row>
    <row r="1431" spans="1:6" ht="15.75" x14ac:dyDescent="0.25">
      <c r="A1431" s="157"/>
      <c r="B1431" s="157"/>
      <c r="C1431" s="157"/>
      <c r="D1431" s="157"/>
      <c r="E1431" s="157"/>
      <c r="F1431" s="157"/>
    </row>
    <row r="1432" spans="1:6" ht="15.75" x14ac:dyDescent="0.25">
      <c r="A1432" s="157"/>
      <c r="B1432" s="157"/>
      <c r="C1432" s="157"/>
      <c r="D1432" s="157"/>
      <c r="E1432" s="157"/>
      <c r="F1432" s="157"/>
    </row>
    <row r="1433" spans="1:6" ht="15.75" x14ac:dyDescent="0.25">
      <c r="A1433" s="157"/>
      <c r="B1433" s="157"/>
      <c r="C1433" s="157"/>
      <c r="D1433" s="157"/>
      <c r="E1433" s="157"/>
      <c r="F1433" s="157"/>
    </row>
    <row r="1434" spans="1:6" ht="15.75" x14ac:dyDescent="0.25">
      <c r="A1434" s="157"/>
      <c r="B1434" s="157"/>
      <c r="C1434" s="157"/>
      <c r="D1434" s="157"/>
      <c r="E1434" s="157"/>
      <c r="F1434" s="157"/>
    </row>
    <row r="1435" spans="1:6" ht="15.75" x14ac:dyDescent="0.25">
      <c r="A1435" s="157"/>
      <c r="B1435" s="157"/>
      <c r="C1435" s="157"/>
      <c r="D1435" s="157"/>
      <c r="E1435" s="157"/>
      <c r="F1435" s="157"/>
    </row>
    <row r="1436" spans="1:6" ht="15.75" x14ac:dyDescent="0.25">
      <c r="A1436" s="157"/>
      <c r="B1436" s="157"/>
      <c r="C1436" s="157"/>
      <c r="D1436" s="157"/>
      <c r="E1436" s="157"/>
      <c r="F1436" s="157"/>
    </row>
    <row r="1437" spans="1:6" ht="15.75" x14ac:dyDescent="0.25">
      <c r="A1437" s="157"/>
      <c r="B1437" s="157"/>
      <c r="C1437" s="157"/>
      <c r="D1437" s="157"/>
      <c r="E1437" s="157"/>
      <c r="F1437" s="157"/>
    </row>
    <row r="1438" spans="1:6" ht="15.75" x14ac:dyDescent="0.25">
      <c r="A1438" s="157"/>
      <c r="B1438" s="157"/>
      <c r="C1438" s="157"/>
      <c r="D1438" s="157"/>
      <c r="E1438" s="157"/>
      <c r="F1438" s="157"/>
    </row>
    <row r="1439" spans="1:6" ht="15.75" x14ac:dyDescent="0.25">
      <c r="A1439" s="157"/>
      <c r="B1439" s="157"/>
      <c r="C1439" s="157"/>
      <c r="D1439" s="157"/>
      <c r="E1439" s="157"/>
      <c r="F1439" s="157"/>
    </row>
    <row r="1440" spans="1:6" ht="15.75" x14ac:dyDescent="0.25">
      <c r="A1440" s="157"/>
      <c r="B1440" s="157"/>
      <c r="C1440" s="157"/>
      <c r="D1440" s="157"/>
      <c r="E1440" s="157"/>
      <c r="F1440" s="157"/>
    </row>
    <row r="1441" spans="1:6" ht="15.75" x14ac:dyDescent="0.25">
      <c r="A1441" s="157"/>
      <c r="B1441" s="157"/>
      <c r="C1441" s="157"/>
      <c r="D1441" s="157"/>
      <c r="E1441" s="157"/>
      <c r="F1441" s="157"/>
    </row>
    <row r="1442" spans="1:6" ht="15.75" x14ac:dyDescent="0.25">
      <c r="A1442" s="157"/>
      <c r="B1442" s="157"/>
      <c r="C1442" s="157"/>
      <c r="D1442" s="157"/>
      <c r="E1442" s="157"/>
      <c r="F1442" s="157"/>
    </row>
    <row r="1443" spans="1:6" ht="15.75" x14ac:dyDescent="0.25">
      <c r="A1443" s="157"/>
      <c r="B1443" s="157"/>
      <c r="C1443" s="157"/>
      <c r="D1443" s="157"/>
      <c r="E1443" s="157"/>
      <c r="F1443" s="157"/>
    </row>
    <row r="1444" spans="1:6" ht="15.75" x14ac:dyDescent="0.25">
      <c r="A1444" s="157"/>
      <c r="B1444" s="157"/>
      <c r="C1444" s="157"/>
      <c r="D1444" s="157"/>
      <c r="E1444" s="157"/>
      <c r="F1444" s="157"/>
    </row>
    <row r="1445" spans="1:6" ht="15.75" x14ac:dyDescent="0.25">
      <c r="A1445" s="157"/>
      <c r="B1445" s="157"/>
      <c r="C1445" s="157"/>
      <c r="D1445" s="157"/>
      <c r="E1445" s="157"/>
      <c r="F1445" s="157"/>
    </row>
    <row r="1446" spans="1:6" ht="15.75" x14ac:dyDescent="0.25">
      <c r="A1446" s="157"/>
      <c r="B1446" s="157"/>
      <c r="C1446" s="157"/>
      <c r="D1446" s="157"/>
      <c r="E1446" s="157"/>
      <c r="F1446" s="157"/>
    </row>
    <row r="1447" spans="1:6" ht="15.75" x14ac:dyDescent="0.25">
      <c r="A1447" s="157"/>
      <c r="B1447" s="157"/>
      <c r="C1447" s="157"/>
      <c r="D1447" s="157"/>
      <c r="E1447" s="157"/>
      <c r="F1447" s="157"/>
    </row>
    <row r="1448" spans="1:6" ht="15.75" x14ac:dyDescent="0.25">
      <c r="A1448" s="157"/>
      <c r="B1448" s="157"/>
      <c r="C1448" s="157"/>
      <c r="D1448" s="157"/>
      <c r="E1448" s="157"/>
      <c r="F1448" s="157"/>
    </row>
    <row r="1449" spans="1:6" ht="15.75" x14ac:dyDescent="0.25">
      <c r="A1449" s="157"/>
      <c r="B1449" s="157"/>
      <c r="C1449" s="157"/>
      <c r="D1449" s="157"/>
      <c r="E1449" s="157"/>
      <c r="F1449" s="157"/>
    </row>
    <row r="1450" spans="1:6" ht="15.75" x14ac:dyDescent="0.25">
      <c r="A1450" s="157"/>
      <c r="B1450" s="157"/>
      <c r="C1450" s="157"/>
      <c r="D1450" s="157"/>
      <c r="E1450" s="157"/>
      <c r="F1450" s="157"/>
    </row>
    <row r="1451" spans="1:6" ht="15.75" x14ac:dyDescent="0.25">
      <c r="A1451" s="157"/>
      <c r="B1451" s="157"/>
      <c r="C1451" s="157"/>
      <c r="D1451" s="157"/>
      <c r="E1451" s="157"/>
      <c r="F1451" s="157"/>
    </row>
    <row r="1452" spans="1:6" ht="15.75" x14ac:dyDescent="0.25">
      <c r="A1452" s="157"/>
      <c r="B1452" s="157"/>
      <c r="C1452" s="157"/>
      <c r="D1452" s="157"/>
      <c r="E1452" s="157"/>
      <c r="F1452" s="157"/>
    </row>
    <row r="1453" spans="1:6" ht="15.75" x14ac:dyDescent="0.25">
      <c r="A1453" s="157"/>
      <c r="B1453" s="157"/>
      <c r="C1453" s="157"/>
      <c r="D1453" s="157"/>
      <c r="E1453" s="157"/>
      <c r="F1453" s="157"/>
    </row>
    <row r="1454" spans="1:6" ht="15.75" x14ac:dyDescent="0.25">
      <c r="A1454" s="157"/>
      <c r="B1454" s="157"/>
      <c r="C1454" s="157"/>
      <c r="D1454" s="157"/>
      <c r="E1454" s="157"/>
      <c r="F1454" s="157"/>
    </row>
    <row r="1455" spans="1:6" ht="15.75" x14ac:dyDescent="0.25">
      <c r="A1455" s="157"/>
      <c r="B1455" s="157"/>
      <c r="C1455" s="157"/>
      <c r="D1455" s="157"/>
      <c r="E1455" s="157"/>
      <c r="F1455" s="157"/>
    </row>
    <row r="1456" spans="1:6" ht="15.75" x14ac:dyDescent="0.25">
      <c r="A1456" s="157"/>
      <c r="B1456" s="157"/>
      <c r="C1456" s="157"/>
      <c r="D1456" s="157"/>
      <c r="E1456" s="157"/>
      <c r="F1456" s="157"/>
    </row>
    <row r="1457" spans="1:6" ht="15.75" x14ac:dyDescent="0.25">
      <c r="A1457" s="157"/>
      <c r="B1457" s="157"/>
      <c r="C1457" s="157"/>
      <c r="D1457" s="157"/>
      <c r="E1457" s="157"/>
      <c r="F1457" s="157"/>
    </row>
    <row r="1458" spans="1:6" ht="15.75" x14ac:dyDescent="0.25">
      <c r="A1458" s="157"/>
      <c r="B1458" s="157"/>
      <c r="C1458" s="157"/>
      <c r="D1458" s="157"/>
      <c r="E1458" s="157"/>
      <c r="F1458" s="157"/>
    </row>
    <row r="1459" spans="1:6" ht="15.75" x14ac:dyDescent="0.25">
      <c r="A1459" s="157"/>
      <c r="B1459" s="157"/>
      <c r="C1459" s="157"/>
      <c r="D1459" s="157"/>
      <c r="E1459" s="157"/>
      <c r="F1459" s="157"/>
    </row>
    <row r="1460" spans="1:6" ht="15.75" x14ac:dyDescent="0.25">
      <c r="A1460" s="157"/>
      <c r="B1460" s="157"/>
      <c r="C1460" s="157"/>
      <c r="D1460" s="157"/>
      <c r="E1460" s="157"/>
      <c r="F1460" s="157"/>
    </row>
    <row r="1461" spans="1:6" ht="15.75" x14ac:dyDescent="0.25">
      <c r="A1461" s="157"/>
      <c r="B1461" s="157"/>
      <c r="C1461" s="157"/>
      <c r="D1461" s="157"/>
      <c r="E1461" s="157"/>
      <c r="F1461" s="157"/>
    </row>
    <row r="1462" spans="1:6" ht="15.75" x14ac:dyDescent="0.25">
      <c r="A1462" s="157"/>
      <c r="B1462" s="157"/>
      <c r="C1462" s="157"/>
      <c r="D1462" s="157"/>
      <c r="E1462" s="157"/>
      <c r="F1462" s="157"/>
    </row>
    <row r="1463" spans="1:6" ht="15.75" x14ac:dyDescent="0.25">
      <c r="A1463" s="157"/>
      <c r="B1463" s="157"/>
      <c r="C1463" s="157"/>
      <c r="D1463" s="157"/>
      <c r="E1463" s="157"/>
      <c r="F1463" s="157"/>
    </row>
    <row r="1464" spans="1:6" ht="15.75" x14ac:dyDescent="0.25">
      <c r="A1464" s="157"/>
      <c r="B1464" s="157"/>
      <c r="C1464" s="157"/>
      <c r="D1464" s="157"/>
      <c r="E1464" s="157"/>
      <c r="F1464" s="157"/>
    </row>
    <row r="1465" spans="1:6" ht="15.75" x14ac:dyDescent="0.25">
      <c r="A1465" s="157"/>
      <c r="B1465" s="157"/>
      <c r="C1465" s="157"/>
      <c r="D1465" s="157"/>
      <c r="E1465" s="157"/>
      <c r="F1465" s="157"/>
    </row>
    <row r="1466" spans="1:6" ht="15.75" x14ac:dyDescent="0.25">
      <c r="A1466" s="157"/>
      <c r="B1466" s="157"/>
      <c r="C1466" s="157"/>
      <c r="D1466" s="157"/>
      <c r="E1466" s="157"/>
      <c r="F1466" s="157"/>
    </row>
    <row r="1467" spans="1:6" ht="15.75" x14ac:dyDescent="0.25">
      <c r="A1467" s="157"/>
      <c r="B1467" s="157"/>
      <c r="C1467" s="157"/>
      <c r="D1467" s="157"/>
      <c r="E1467" s="157"/>
      <c r="F1467" s="157"/>
    </row>
    <row r="1468" spans="1:6" ht="15.75" x14ac:dyDescent="0.25">
      <c r="A1468" s="157"/>
      <c r="B1468" s="157"/>
      <c r="C1468" s="157"/>
      <c r="D1468" s="157"/>
      <c r="E1468" s="157"/>
      <c r="F1468" s="157"/>
    </row>
    <row r="1469" spans="1:6" ht="15.75" x14ac:dyDescent="0.25">
      <c r="A1469" s="157"/>
      <c r="B1469" s="157"/>
      <c r="C1469" s="157"/>
      <c r="D1469" s="157"/>
      <c r="E1469" s="157"/>
      <c r="F1469" s="157"/>
    </row>
    <row r="1470" spans="1:6" ht="15.75" x14ac:dyDescent="0.25">
      <c r="A1470" s="157"/>
      <c r="B1470" s="157"/>
      <c r="C1470" s="157"/>
      <c r="D1470" s="157"/>
      <c r="E1470" s="157"/>
      <c r="F1470" s="157"/>
    </row>
    <row r="1471" spans="1:6" ht="15.75" x14ac:dyDescent="0.25">
      <c r="A1471" s="157"/>
      <c r="B1471" s="157"/>
      <c r="C1471" s="157"/>
      <c r="D1471" s="157"/>
      <c r="E1471" s="157"/>
      <c r="F1471" s="157"/>
    </row>
    <row r="1472" spans="1:6" ht="15.75" x14ac:dyDescent="0.25">
      <c r="A1472" s="157"/>
      <c r="B1472" s="157"/>
      <c r="C1472" s="157"/>
      <c r="D1472" s="157"/>
      <c r="E1472" s="157"/>
      <c r="F1472" s="157"/>
    </row>
    <row r="1473" spans="1:6" ht="15.75" x14ac:dyDescent="0.25">
      <c r="A1473" s="157"/>
      <c r="B1473" s="157"/>
      <c r="C1473" s="157"/>
      <c r="D1473" s="157"/>
      <c r="E1473" s="157"/>
      <c r="F1473" s="157"/>
    </row>
    <row r="1474" spans="1:6" ht="15.75" x14ac:dyDescent="0.25">
      <c r="A1474" s="157"/>
      <c r="B1474" s="157"/>
      <c r="C1474" s="157"/>
      <c r="D1474" s="157"/>
      <c r="E1474" s="157"/>
      <c r="F1474" s="157"/>
    </row>
    <row r="1475" spans="1:6" ht="15.75" x14ac:dyDescent="0.25">
      <c r="A1475" s="157"/>
      <c r="B1475" s="157"/>
      <c r="C1475" s="157"/>
      <c r="D1475" s="157"/>
      <c r="E1475" s="157"/>
      <c r="F1475" s="157"/>
    </row>
    <row r="1476" spans="1:6" ht="15.75" x14ac:dyDescent="0.25">
      <c r="A1476" s="157"/>
      <c r="B1476" s="157"/>
      <c r="C1476" s="157"/>
      <c r="D1476" s="157"/>
      <c r="E1476" s="157"/>
      <c r="F1476" s="157"/>
    </row>
    <row r="1477" spans="1:6" ht="15.75" x14ac:dyDescent="0.25">
      <c r="A1477" s="157"/>
      <c r="B1477" s="157"/>
      <c r="C1477" s="157"/>
      <c r="D1477" s="157"/>
      <c r="E1477" s="157"/>
      <c r="F1477" s="157"/>
    </row>
    <row r="1478" spans="1:6" ht="15.75" x14ac:dyDescent="0.25">
      <c r="A1478" s="157"/>
      <c r="B1478" s="157"/>
      <c r="C1478" s="157"/>
      <c r="D1478" s="157"/>
      <c r="E1478" s="157"/>
      <c r="F1478" s="157"/>
    </row>
    <row r="1479" spans="1:6" ht="15.75" x14ac:dyDescent="0.25">
      <c r="A1479" s="157"/>
      <c r="B1479" s="157"/>
      <c r="C1479" s="157"/>
      <c r="D1479" s="157"/>
      <c r="E1479" s="157"/>
      <c r="F1479" s="157"/>
    </row>
    <row r="1480" spans="1:6" ht="15.75" x14ac:dyDescent="0.25">
      <c r="A1480" s="157"/>
      <c r="B1480" s="157"/>
      <c r="C1480" s="157"/>
      <c r="D1480" s="157"/>
      <c r="E1480" s="157"/>
      <c r="F1480" s="157"/>
    </row>
    <row r="1481" spans="1:6" ht="15.75" x14ac:dyDescent="0.25">
      <c r="A1481" s="157"/>
      <c r="B1481" s="157"/>
      <c r="C1481" s="157"/>
      <c r="D1481" s="157"/>
      <c r="E1481" s="157"/>
      <c r="F1481" s="157"/>
    </row>
    <row r="1482" spans="1:6" ht="15.75" x14ac:dyDescent="0.25">
      <c r="A1482" s="157"/>
      <c r="B1482" s="157"/>
      <c r="C1482" s="157"/>
      <c r="D1482" s="157"/>
      <c r="E1482" s="157"/>
      <c r="F1482" s="157"/>
    </row>
    <row r="1483" spans="1:6" ht="15.75" x14ac:dyDescent="0.25">
      <c r="A1483" s="157"/>
      <c r="B1483" s="157"/>
      <c r="C1483" s="157"/>
      <c r="D1483" s="157"/>
      <c r="E1483" s="157"/>
      <c r="F1483" s="157"/>
    </row>
    <row r="1484" spans="1:6" ht="15.75" x14ac:dyDescent="0.25">
      <c r="A1484" s="157"/>
      <c r="B1484" s="157"/>
      <c r="C1484" s="157"/>
      <c r="D1484" s="157"/>
      <c r="E1484" s="157"/>
      <c r="F1484" s="157"/>
    </row>
    <row r="1485" spans="1:6" ht="15.75" x14ac:dyDescent="0.25">
      <c r="A1485" s="157"/>
      <c r="B1485" s="157"/>
      <c r="C1485" s="157"/>
      <c r="D1485" s="157"/>
      <c r="E1485" s="157"/>
      <c r="F1485" s="157"/>
    </row>
    <row r="1486" spans="1:6" ht="15.75" x14ac:dyDescent="0.25">
      <c r="A1486" s="157"/>
      <c r="B1486" s="157"/>
      <c r="C1486" s="157"/>
      <c r="D1486" s="157"/>
      <c r="E1486" s="157"/>
      <c r="F1486" s="157"/>
    </row>
    <row r="1487" spans="1:6" ht="15.75" x14ac:dyDescent="0.25">
      <c r="A1487" s="157"/>
      <c r="B1487" s="157"/>
      <c r="C1487" s="157"/>
      <c r="D1487" s="157"/>
      <c r="E1487" s="157"/>
      <c r="F1487" s="157"/>
    </row>
    <row r="1488" spans="1:6" ht="15.75" x14ac:dyDescent="0.25">
      <c r="A1488" s="157"/>
      <c r="B1488" s="157"/>
      <c r="C1488" s="157"/>
      <c r="D1488" s="157"/>
      <c r="E1488" s="157"/>
      <c r="F1488" s="157"/>
    </row>
    <row r="1489" spans="1:6" ht="15.75" x14ac:dyDescent="0.25">
      <c r="A1489" s="157"/>
      <c r="B1489" s="157"/>
      <c r="C1489" s="157"/>
      <c r="D1489" s="157"/>
      <c r="E1489" s="157"/>
      <c r="F1489" s="157"/>
    </row>
    <row r="1490" spans="1:6" ht="15.75" x14ac:dyDescent="0.25">
      <c r="A1490" s="157"/>
      <c r="B1490" s="157"/>
      <c r="C1490" s="157"/>
      <c r="D1490" s="157"/>
      <c r="E1490" s="157"/>
      <c r="F1490" s="157"/>
    </row>
    <row r="1491" spans="1:6" ht="15.75" x14ac:dyDescent="0.25">
      <c r="A1491" s="157"/>
      <c r="B1491" s="157"/>
      <c r="C1491" s="157"/>
      <c r="D1491" s="157"/>
      <c r="E1491" s="157"/>
      <c r="F1491" s="157"/>
    </row>
    <row r="1492" spans="1:6" ht="15.75" x14ac:dyDescent="0.25">
      <c r="A1492" s="157"/>
      <c r="B1492" s="157"/>
      <c r="C1492" s="157"/>
      <c r="D1492" s="157"/>
      <c r="E1492" s="157"/>
      <c r="F1492" s="157"/>
    </row>
    <row r="1493" spans="1:6" ht="15.75" x14ac:dyDescent="0.25">
      <c r="A1493" s="157"/>
      <c r="B1493" s="157"/>
      <c r="C1493" s="157"/>
      <c r="D1493" s="157"/>
      <c r="E1493" s="157"/>
      <c r="F1493" s="157"/>
    </row>
    <row r="1494" spans="1:6" ht="15.75" x14ac:dyDescent="0.25">
      <c r="A1494" s="157"/>
      <c r="B1494" s="157"/>
      <c r="C1494" s="157"/>
      <c r="D1494" s="157"/>
      <c r="E1494" s="157"/>
      <c r="F1494" s="157"/>
    </row>
    <row r="1495" spans="1:6" ht="15.75" x14ac:dyDescent="0.25">
      <c r="A1495" s="157"/>
      <c r="B1495" s="157"/>
      <c r="C1495" s="157"/>
      <c r="D1495" s="157"/>
      <c r="E1495" s="157"/>
      <c r="F1495" s="157"/>
    </row>
    <row r="1496" spans="1:6" ht="15.75" x14ac:dyDescent="0.25">
      <c r="A1496" s="157"/>
      <c r="B1496" s="157"/>
      <c r="C1496" s="157"/>
      <c r="D1496" s="157"/>
      <c r="E1496" s="157"/>
      <c r="F1496" s="157"/>
    </row>
    <row r="1497" spans="1:6" ht="15.75" x14ac:dyDescent="0.25">
      <c r="A1497" s="157"/>
      <c r="B1497" s="157"/>
      <c r="C1497" s="157"/>
      <c r="D1497" s="157"/>
      <c r="E1497" s="157"/>
      <c r="F1497" s="157"/>
    </row>
    <row r="1498" spans="1:6" ht="15.75" x14ac:dyDescent="0.25">
      <c r="A1498" s="157"/>
      <c r="B1498" s="157"/>
      <c r="C1498" s="157"/>
      <c r="D1498" s="157"/>
      <c r="E1498" s="157"/>
      <c r="F1498" s="157"/>
    </row>
    <row r="1499" spans="1:6" ht="15.75" x14ac:dyDescent="0.25">
      <c r="A1499" s="157"/>
      <c r="B1499" s="157"/>
      <c r="C1499" s="157"/>
      <c r="D1499" s="157"/>
      <c r="E1499" s="157"/>
      <c r="F1499" s="157"/>
    </row>
    <row r="1500" spans="1:6" ht="15.75" x14ac:dyDescent="0.25">
      <c r="A1500" s="157"/>
      <c r="B1500" s="157"/>
      <c r="C1500" s="157"/>
      <c r="D1500" s="157"/>
      <c r="E1500" s="157"/>
      <c r="F1500" s="157"/>
    </row>
    <row r="1501" spans="1:6" ht="15.75" x14ac:dyDescent="0.25">
      <c r="A1501" s="157"/>
      <c r="B1501" s="157"/>
      <c r="C1501" s="157"/>
      <c r="D1501" s="157"/>
      <c r="E1501" s="157"/>
      <c r="F1501" s="157"/>
    </row>
    <row r="1502" spans="1:6" ht="15.75" x14ac:dyDescent="0.25">
      <c r="A1502" s="157"/>
      <c r="B1502" s="157"/>
      <c r="C1502" s="157"/>
      <c r="D1502" s="157"/>
      <c r="E1502" s="157"/>
      <c r="F1502" s="157"/>
    </row>
    <row r="1503" spans="1:6" ht="15.75" x14ac:dyDescent="0.25">
      <c r="A1503" s="157"/>
      <c r="B1503" s="157"/>
      <c r="C1503" s="157"/>
      <c r="D1503" s="157"/>
      <c r="E1503" s="157"/>
      <c r="F1503" s="157"/>
    </row>
    <row r="1504" spans="1:6" ht="15.75" x14ac:dyDescent="0.25">
      <c r="A1504" s="157"/>
      <c r="B1504" s="157"/>
      <c r="C1504" s="157"/>
      <c r="D1504" s="157"/>
      <c r="E1504" s="157"/>
      <c r="F1504" s="157"/>
    </row>
    <row r="1505" spans="1:6" ht="15.75" x14ac:dyDescent="0.25">
      <c r="A1505" s="157"/>
      <c r="B1505" s="157"/>
      <c r="C1505" s="157"/>
      <c r="D1505" s="157"/>
      <c r="E1505" s="157"/>
      <c r="F1505" s="157"/>
    </row>
    <row r="1506" spans="1:6" ht="15.75" x14ac:dyDescent="0.25">
      <c r="A1506" s="157"/>
      <c r="B1506" s="157"/>
      <c r="C1506" s="157"/>
      <c r="D1506" s="157"/>
      <c r="E1506" s="157"/>
      <c r="F1506" s="157"/>
    </row>
    <row r="1507" spans="1:6" ht="15.75" x14ac:dyDescent="0.25">
      <c r="A1507" s="157"/>
      <c r="B1507" s="157"/>
      <c r="C1507" s="157"/>
      <c r="D1507" s="157"/>
      <c r="E1507" s="157"/>
      <c r="F1507" s="157"/>
    </row>
    <row r="1508" spans="1:6" ht="15.75" x14ac:dyDescent="0.25">
      <c r="A1508" s="157"/>
      <c r="B1508" s="157"/>
      <c r="C1508" s="157"/>
      <c r="D1508" s="157"/>
      <c r="E1508" s="157"/>
      <c r="F1508" s="157"/>
    </row>
    <row r="1509" spans="1:6" ht="15.75" x14ac:dyDescent="0.25">
      <c r="A1509" s="157"/>
      <c r="B1509" s="157"/>
      <c r="C1509" s="157"/>
      <c r="D1509" s="157"/>
      <c r="E1509" s="157"/>
      <c r="F1509" s="157"/>
    </row>
    <row r="1510" spans="1:6" ht="15.75" x14ac:dyDescent="0.25">
      <c r="A1510" s="157"/>
      <c r="B1510" s="157"/>
      <c r="C1510" s="157"/>
      <c r="D1510" s="157"/>
      <c r="E1510" s="157"/>
      <c r="F1510" s="157"/>
    </row>
    <row r="1511" spans="1:6" ht="15.75" x14ac:dyDescent="0.25">
      <c r="A1511" s="157"/>
      <c r="B1511" s="157"/>
      <c r="C1511" s="157"/>
      <c r="D1511" s="157"/>
      <c r="E1511" s="157"/>
      <c r="F1511" s="157"/>
    </row>
    <row r="1512" spans="1:6" ht="15.75" x14ac:dyDescent="0.25">
      <c r="A1512" s="157"/>
      <c r="B1512" s="157"/>
      <c r="C1512" s="157"/>
      <c r="D1512" s="157"/>
      <c r="E1512" s="157"/>
      <c r="F1512" s="157"/>
    </row>
    <row r="1513" spans="1:6" ht="15.75" x14ac:dyDescent="0.25">
      <c r="A1513" s="157"/>
      <c r="B1513" s="157"/>
      <c r="C1513" s="157"/>
      <c r="D1513" s="157"/>
      <c r="E1513" s="157"/>
      <c r="F1513" s="157"/>
    </row>
    <row r="1514" spans="1:6" ht="15.75" x14ac:dyDescent="0.25">
      <c r="A1514" s="157"/>
      <c r="B1514" s="157"/>
      <c r="C1514" s="157"/>
      <c r="D1514" s="157"/>
      <c r="E1514" s="157"/>
      <c r="F1514" s="157"/>
    </row>
    <row r="1515" spans="1:6" ht="15.75" x14ac:dyDescent="0.25">
      <c r="A1515" s="157"/>
      <c r="B1515" s="157"/>
      <c r="C1515" s="157"/>
      <c r="D1515" s="157"/>
      <c r="E1515" s="157"/>
      <c r="F1515" s="157"/>
    </row>
    <row r="1516" spans="1:6" ht="15.75" x14ac:dyDescent="0.25">
      <c r="A1516" s="157"/>
      <c r="B1516" s="157"/>
      <c r="C1516" s="157"/>
      <c r="D1516" s="157"/>
      <c r="E1516" s="157"/>
      <c r="F1516" s="157"/>
    </row>
    <row r="1517" spans="1:6" ht="15.75" x14ac:dyDescent="0.25">
      <c r="A1517" s="157"/>
      <c r="B1517" s="157"/>
      <c r="C1517" s="157"/>
      <c r="D1517" s="157"/>
      <c r="E1517" s="157"/>
      <c r="F1517" s="157"/>
    </row>
    <row r="1518" spans="1:6" ht="15.75" x14ac:dyDescent="0.25">
      <c r="A1518" s="157"/>
      <c r="B1518" s="157"/>
      <c r="C1518" s="157"/>
      <c r="D1518" s="157"/>
      <c r="E1518" s="157"/>
      <c r="F1518" s="157"/>
    </row>
    <row r="1519" spans="1:6" ht="15.75" x14ac:dyDescent="0.25">
      <c r="A1519" s="157"/>
      <c r="B1519" s="157"/>
      <c r="C1519" s="157"/>
      <c r="D1519" s="157"/>
      <c r="E1519" s="157"/>
      <c r="F1519" s="157"/>
    </row>
    <row r="1520" spans="1:6" ht="15.75" x14ac:dyDescent="0.25">
      <c r="A1520" s="157"/>
      <c r="B1520" s="157"/>
      <c r="C1520" s="157"/>
      <c r="D1520" s="157"/>
      <c r="E1520" s="157"/>
      <c r="F1520" s="157"/>
    </row>
    <row r="1521" spans="1:6" ht="15.75" x14ac:dyDescent="0.25">
      <c r="A1521" s="157"/>
      <c r="B1521" s="157"/>
      <c r="C1521" s="157"/>
      <c r="D1521" s="157"/>
      <c r="E1521" s="157"/>
      <c r="F1521" s="157"/>
    </row>
    <row r="1522" spans="1:6" ht="15.75" x14ac:dyDescent="0.25">
      <c r="A1522" s="157"/>
      <c r="B1522" s="157"/>
      <c r="C1522" s="157"/>
      <c r="D1522" s="157"/>
      <c r="E1522" s="157"/>
      <c r="F1522" s="157"/>
    </row>
    <row r="1523" spans="1:6" ht="15.75" x14ac:dyDescent="0.25">
      <c r="A1523" s="157"/>
      <c r="B1523" s="157"/>
      <c r="C1523" s="157"/>
      <c r="D1523" s="157"/>
      <c r="E1523" s="157"/>
      <c r="F1523" s="157"/>
    </row>
    <row r="1524" spans="1:6" ht="15.75" x14ac:dyDescent="0.25">
      <c r="A1524" s="157"/>
      <c r="B1524" s="157"/>
      <c r="C1524" s="157"/>
      <c r="D1524" s="157"/>
      <c r="E1524" s="157"/>
      <c r="F1524" s="157"/>
    </row>
    <row r="1525" spans="1:6" ht="15.75" x14ac:dyDescent="0.25">
      <c r="A1525" s="157"/>
      <c r="B1525" s="157"/>
      <c r="C1525" s="157"/>
      <c r="D1525" s="157"/>
      <c r="E1525" s="157"/>
      <c r="F1525" s="157"/>
    </row>
    <row r="1526" spans="1:6" ht="15.75" x14ac:dyDescent="0.25">
      <c r="A1526" s="157"/>
      <c r="B1526" s="157"/>
      <c r="C1526" s="157"/>
      <c r="D1526" s="157"/>
      <c r="E1526" s="157"/>
      <c r="F1526" s="157"/>
    </row>
    <row r="1527" spans="1:6" ht="15.75" x14ac:dyDescent="0.25">
      <c r="A1527" s="157"/>
      <c r="B1527" s="157"/>
      <c r="C1527" s="157"/>
      <c r="D1527" s="157"/>
      <c r="E1527" s="157"/>
      <c r="F1527" s="157"/>
    </row>
    <row r="1528" spans="1:6" ht="15.75" x14ac:dyDescent="0.25">
      <c r="A1528" s="157"/>
      <c r="B1528" s="157"/>
      <c r="C1528" s="157"/>
      <c r="D1528" s="157"/>
      <c r="E1528" s="157"/>
      <c r="F1528" s="157"/>
    </row>
    <row r="1529" spans="1:6" ht="15.75" x14ac:dyDescent="0.25">
      <c r="A1529" s="157"/>
      <c r="B1529" s="157"/>
      <c r="C1529" s="157"/>
      <c r="D1529" s="157"/>
      <c r="E1529" s="157"/>
      <c r="F1529" s="157"/>
    </row>
    <row r="1530" spans="1:6" ht="15.75" x14ac:dyDescent="0.25">
      <c r="A1530" s="157"/>
      <c r="B1530" s="157"/>
      <c r="C1530" s="157"/>
      <c r="D1530" s="157"/>
      <c r="E1530" s="157"/>
      <c r="F1530" s="157"/>
    </row>
    <row r="1531" spans="1:6" ht="15.75" x14ac:dyDescent="0.25">
      <c r="A1531" s="157"/>
      <c r="B1531" s="157"/>
      <c r="C1531" s="157"/>
      <c r="D1531" s="157"/>
      <c r="E1531" s="157"/>
      <c r="F1531" s="157"/>
    </row>
    <row r="1532" spans="1:6" ht="15.75" x14ac:dyDescent="0.25">
      <c r="A1532" s="157"/>
      <c r="B1532" s="157"/>
      <c r="C1532" s="157"/>
      <c r="D1532" s="157"/>
      <c r="E1532" s="157"/>
      <c r="F1532" s="157"/>
    </row>
    <row r="1533" spans="1:6" ht="15.75" x14ac:dyDescent="0.25">
      <c r="A1533" s="157"/>
      <c r="B1533" s="157"/>
      <c r="C1533" s="157"/>
      <c r="D1533" s="157"/>
      <c r="E1533" s="157"/>
      <c r="F1533" s="157"/>
    </row>
    <row r="1534" spans="1:6" ht="15.75" x14ac:dyDescent="0.25">
      <c r="A1534" s="157"/>
      <c r="B1534" s="157"/>
      <c r="C1534" s="157"/>
      <c r="D1534" s="157"/>
      <c r="E1534" s="157"/>
      <c r="F1534" s="157"/>
    </row>
    <row r="1535" spans="1:6" ht="15.75" x14ac:dyDescent="0.25">
      <c r="A1535" s="157"/>
      <c r="B1535" s="157"/>
      <c r="C1535" s="157"/>
      <c r="D1535" s="157"/>
      <c r="E1535" s="157"/>
      <c r="F1535" s="157"/>
    </row>
    <row r="1536" spans="1:6" ht="15.75" x14ac:dyDescent="0.25">
      <c r="A1536" s="157"/>
      <c r="B1536" s="157"/>
      <c r="C1536" s="157"/>
      <c r="D1536" s="157"/>
      <c r="E1536" s="157"/>
      <c r="F1536" s="157"/>
    </row>
    <row r="1537" spans="1:6" ht="15.75" x14ac:dyDescent="0.25">
      <c r="A1537" s="157"/>
      <c r="B1537" s="157"/>
      <c r="C1537" s="157"/>
      <c r="D1537" s="157"/>
      <c r="E1537" s="157"/>
      <c r="F1537" s="157"/>
    </row>
    <row r="1538" spans="1:6" ht="15.75" x14ac:dyDescent="0.25">
      <c r="A1538" s="157"/>
      <c r="B1538" s="157"/>
      <c r="C1538" s="157"/>
      <c r="D1538" s="157"/>
      <c r="E1538" s="157"/>
      <c r="F1538" s="157"/>
    </row>
    <row r="1539" spans="1:6" ht="15.75" x14ac:dyDescent="0.25">
      <c r="A1539" s="157"/>
      <c r="B1539" s="157"/>
      <c r="C1539" s="157"/>
      <c r="D1539" s="157"/>
      <c r="E1539" s="157"/>
      <c r="F1539" s="157"/>
    </row>
    <row r="1540" spans="1:6" ht="15.75" x14ac:dyDescent="0.25">
      <c r="A1540" s="157"/>
      <c r="B1540" s="157"/>
      <c r="C1540" s="157"/>
      <c r="D1540" s="157"/>
      <c r="E1540" s="157"/>
      <c r="F1540" s="157"/>
    </row>
    <row r="1541" spans="1:6" ht="15.75" x14ac:dyDescent="0.25">
      <c r="A1541" s="157"/>
      <c r="B1541" s="157"/>
      <c r="C1541" s="157"/>
      <c r="D1541" s="157"/>
      <c r="E1541" s="157"/>
      <c r="F1541" s="157"/>
    </row>
    <row r="1542" spans="1:6" ht="15.75" x14ac:dyDescent="0.25">
      <c r="A1542" s="157"/>
      <c r="B1542" s="157"/>
      <c r="C1542" s="157"/>
      <c r="D1542" s="157"/>
      <c r="E1542" s="157"/>
      <c r="F1542" s="157"/>
    </row>
    <row r="1543" spans="1:6" ht="15.75" x14ac:dyDescent="0.25">
      <c r="A1543" s="157"/>
      <c r="B1543" s="157"/>
      <c r="C1543" s="157"/>
      <c r="D1543" s="157"/>
      <c r="E1543" s="157"/>
      <c r="F1543" s="157"/>
    </row>
    <row r="1544" spans="1:6" ht="15.75" x14ac:dyDescent="0.25">
      <c r="A1544" s="157"/>
      <c r="B1544" s="157"/>
      <c r="C1544" s="157"/>
      <c r="D1544" s="157"/>
      <c r="E1544" s="157"/>
      <c r="F1544" s="157"/>
    </row>
    <row r="1545" spans="1:6" ht="15.75" x14ac:dyDescent="0.25">
      <c r="A1545" s="157"/>
      <c r="B1545" s="157"/>
      <c r="C1545" s="157"/>
      <c r="D1545" s="157"/>
      <c r="E1545" s="157"/>
      <c r="F1545" s="157"/>
    </row>
    <row r="1546" spans="1:6" ht="15.75" x14ac:dyDescent="0.25">
      <c r="A1546" s="157"/>
      <c r="B1546" s="157"/>
      <c r="C1546" s="157"/>
      <c r="D1546" s="157"/>
      <c r="E1546" s="157"/>
      <c r="F1546" s="157"/>
    </row>
    <row r="1547" spans="1:6" ht="15.75" x14ac:dyDescent="0.25">
      <c r="A1547" s="157"/>
      <c r="B1547" s="157"/>
      <c r="C1547" s="157"/>
      <c r="D1547" s="157"/>
      <c r="E1547" s="157"/>
      <c r="F1547" s="157"/>
    </row>
    <row r="1548" spans="1:6" ht="15.75" x14ac:dyDescent="0.25">
      <c r="A1548" s="157"/>
      <c r="B1548" s="157"/>
      <c r="C1548" s="157"/>
      <c r="D1548" s="157"/>
      <c r="E1548" s="157"/>
      <c r="F1548" s="157"/>
    </row>
    <row r="1549" spans="1:6" ht="15.75" x14ac:dyDescent="0.25">
      <c r="A1549" s="157"/>
      <c r="B1549" s="157"/>
      <c r="C1549" s="157"/>
      <c r="D1549" s="157"/>
      <c r="E1549" s="157"/>
      <c r="F1549" s="157"/>
    </row>
    <row r="1550" spans="1:6" ht="15.75" x14ac:dyDescent="0.25">
      <c r="A1550" s="157"/>
      <c r="B1550" s="157"/>
      <c r="C1550" s="157"/>
      <c r="D1550" s="157"/>
      <c r="E1550" s="157"/>
      <c r="F1550" s="157"/>
    </row>
    <row r="1551" spans="1:6" ht="15.75" x14ac:dyDescent="0.25">
      <c r="A1551" s="157"/>
      <c r="B1551" s="157"/>
      <c r="C1551" s="157"/>
      <c r="D1551" s="157"/>
      <c r="E1551" s="157"/>
      <c r="F1551" s="157"/>
    </row>
    <row r="1552" spans="1:6" ht="15.75" x14ac:dyDescent="0.25">
      <c r="A1552" s="157"/>
      <c r="B1552" s="157"/>
      <c r="C1552" s="157"/>
      <c r="D1552" s="157"/>
      <c r="E1552" s="157"/>
      <c r="F1552" s="157"/>
    </row>
    <row r="1553" spans="1:6" ht="15.75" x14ac:dyDescent="0.25">
      <c r="A1553" s="157"/>
      <c r="B1553" s="157"/>
      <c r="C1553" s="157"/>
      <c r="D1553" s="157"/>
      <c r="E1553" s="157"/>
      <c r="F1553" s="157"/>
    </row>
    <row r="1554" spans="1:6" ht="15.75" x14ac:dyDescent="0.25">
      <c r="A1554" s="157"/>
      <c r="B1554" s="157"/>
      <c r="C1554" s="157"/>
      <c r="D1554" s="157"/>
      <c r="E1554" s="157"/>
      <c r="F1554" s="157"/>
    </row>
    <row r="1555" spans="1:6" ht="15.75" x14ac:dyDescent="0.25">
      <c r="A1555" s="157"/>
      <c r="B1555" s="157"/>
      <c r="C1555" s="157"/>
      <c r="D1555" s="157"/>
      <c r="E1555" s="157"/>
      <c r="F1555" s="157"/>
    </row>
    <row r="1556" spans="1:6" ht="15.75" x14ac:dyDescent="0.25">
      <c r="A1556" s="157"/>
      <c r="B1556" s="157"/>
      <c r="C1556" s="157"/>
      <c r="D1556" s="157"/>
      <c r="E1556" s="157"/>
      <c r="F1556" s="157"/>
    </row>
    <row r="1557" spans="1:6" ht="15.75" x14ac:dyDescent="0.25">
      <c r="A1557" s="157"/>
      <c r="B1557" s="157"/>
      <c r="C1557" s="157"/>
      <c r="D1557" s="157"/>
      <c r="E1557" s="157"/>
      <c r="F1557" s="157"/>
    </row>
    <row r="1558" spans="1:6" ht="15.75" x14ac:dyDescent="0.25">
      <c r="A1558" s="157"/>
      <c r="B1558" s="157"/>
      <c r="C1558" s="157"/>
      <c r="D1558" s="157"/>
      <c r="E1558" s="157"/>
      <c r="F1558" s="157"/>
    </row>
    <row r="1559" spans="1:6" ht="15.75" x14ac:dyDescent="0.25">
      <c r="A1559" s="157"/>
      <c r="B1559" s="157"/>
      <c r="C1559" s="157"/>
      <c r="D1559" s="157"/>
      <c r="E1559" s="157"/>
      <c r="F1559" s="157"/>
    </row>
    <row r="1560" spans="1:6" ht="15.75" x14ac:dyDescent="0.25">
      <c r="A1560" s="157"/>
      <c r="B1560" s="157"/>
      <c r="C1560" s="157"/>
      <c r="D1560" s="157"/>
      <c r="E1560" s="157"/>
      <c r="F1560" s="157"/>
    </row>
    <row r="1561" spans="1:6" ht="15.75" x14ac:dyDescent="0.25">
      <c r="A1561" s="157"/>
      <c r="B1561" s="157"/>
      <c r="C1561" s="157"/>
      <c r="D1561" s="157"/>
      <c r="E1561" s="157"/>
      <c r="F1561" s="157"/>
    </row>
    <row r="1562" spans="1:6" ht="15.75" x14ac:dyDescent="0.25">
      <c r="A1562" s="157"/>
      <c r="B1562" s="157"/>
      <c r="C1562" s="157"/>
      <c r="D1562" s="157"/>
      <c r="E1562" s="157"/>
      <c r="F1562" s="157"/>
    </row>
    <row r="1563" spans="1:6" ht="15.75" x14ac:dyDescent="0.25">
      <c r="A1563" s="157"/>
      <c r="B1563" s="157"/>
      <c r="C1563" s="157"/>
      <c r="D1563" s="157"/>
      <c r="E1563" s="157"/>
      <c r="F1563" s="157"/>
    </row>
    <row r="1564" spans="1:6" ht="15.75" x14ac:dyDescent="0.25">
      <c r="A1564" s="157"/>
      <c r="B1564" s="157"/>
      <c r="C1564" s="157"/>
      <c r="D1564" s="157"/>
      <c r="E1564" s="157"/>
      <c r="F1564" s="157"/>
    </row>
    <row r="1565" spans="1:6" ht="15.75" x14ac:dyDescent="0.25">
      <c r="A1565" s="157"/>
      <c r="B1565" s="157"/>
      <c r="C1565" s="157"/>
      <c r="D1565" s="157"/>
      <c r="E1565" s="157"/>
      <c r="F1565" s="157"/>
    </row>
    <row r="1566" spans="1:6" ht="15.75" x14ac:dyDescent="0.25">
      <c r="A1566" s="157"/>
      <c r="B1566" s="157"/>
      <c r="C1566" s="157"/>
      <c r="D1566" s="157"/>
      <c r="E1566" s="157"/>
      <c r="F1566" s="157"/>
    </row>
    <row r="1567" spans="1:6" ht="15.75" x14ac:dyDescent="0.25">
      <c r="A1567" s="157"/>
      <c r="B1567" s="157"/>
      <c r="C1567" s="157"/>
      <c r="D1567" s="157"/>
      <c r="E1567" s="157"/>
      <c r="F1567" s="157"/>
    </row>
    <row r="1568" spans="1:6" ht="15.75" x14ac:dyDescent="0.25">
      <c r="A1568" s="157"/>
      <c r="B1568" s="157"/>
      <c r="C1568" s="157"/>
      <c r="D1568" s="157"/>
      <c r="E1568" s="157"/>
      <c r="F1568" s="157"/>
    </row>
    <row r="1569" spans="1:6" ht="15.75" x14ac:dyDescent="0.25">
      <c r="A1569" s="157"/>
      <c r="B1569" s="157"/>
      <c r="C1569" s="157"/>
      <c r="D1569" s="157"/>
      <c r="E1569" s="157"/>
      <c r="F1569" s="157"/>
    </row>
    <row r="1570" spans="1:6" ht="15.75" x14ac:dyDescent="0.25">
      <c r="A1570" s="157"/>
      <c r="B1570" s="157"/>
      <c r="C1570" s="157"/>
      <c r="D1570" s="157"/>
      <c r="E1570" s="157"/>
      <c r="F1570" s="157"/>
    </row>
    <row r="1571" spans="1:6" ht="15.75" x14ac:dyDescent="0.25">
      <c r="A1571" s="157"/>
      <c r="B1571" s="157"/>
      <c r="C1571" s="157"/>
      <c r="D1571" s="157"/>
      <c r="E1571" s="157"/>
      <c r="F1571" s="157"/>
    </row>
    <row r="1572" spans="1:6" ht="15.75" x14ac:dyDescent="0.25">
      <c r="A1572" s="157"/>
      <c r="B1572" s="157"/>
      <c r="C1572" s="157"/>
      <c r="D1572" s="157"/>
      <c r="E1572" s="157"/>
      <c r="F1572" s="157"/>
    </row>
    <row r="1573" spans="1:6" ht="15.75" x14ac:dyDescent="0.25">
      <c r="A1573" s="157"/>
      <c r="B1573" s="157"/>
      <c r="C1573" s="157"/>
      <c r="D1573" s="157"/>
      <c r="E1573" s="157"/>
      <c r="F1573" s="157"/>
    </row>
    <row r="1574" spans="1:6" ht="15.75" x14ac:dyDescent="0.25">
      <c r="A1574" s="157"/>
      <c r="B1574" s="157"/>
      <c r="C1574" s="157"/>
      <c r="D1574" s="157"/>
      <c r="E1574" s="157"/>
      <c r="F1574" s="157"/>
    </row>
    <row r="1575" spans="1:6" ht="15.75" x14ac:dyDescent="0.25">
      <c r="A1575" s="157"/>
      <c r="B1575" s="157"/>
      <c r="C1575" s="157"/>
      <c r="D1575" s="157"/>
      <c r="E1575" s="157"/>
      <c r="F1575" s="157"/>
    </row>
    <row r="1576" spans="1:6" ht="15.75" x14ac:dyDescent="0.25">
      <c r="A1576" s="157"/>
      <c r="B1576" s="157"/>
      <c r="C1576" s="157"/>
      <c r="D1576" s="157"/>
      <c r="E1576" s="157"/>
      <c r="F1576" s="157"/>
    </row>
    <row r="1577" spans="1:6" ht="15.75" x14ac:dyDescent="0.25">
      <c r="A1577" s="157"/>
      <c r="B1577" s="157"/>
      <c r="C1577" s="157"/>
      <c r="D1577" s="157"/>
      <c r="E1577" s="157"/>
      <c r="F1577" s="157"/>
    </row>
    <row r="1578" spans="1:6" ht="15.75" x14ac:dyDescent="0.25">
      <c r="A1578" s="157"/>
      <c r="B1578" s="157"/>
      <c r="C1578" s="157"/>
      <c r="D1578" s="157"/>
      <c r="E1578" s="157"/>
      <c r="F1578" s="157"/>
    </row>
    <row r="1579" spans="1:6" ht="15.75" x14ac:dyDescent="0.25">
      <c r="A1579" s="157"/>
      <c r="B1579" s="157"/>
      <c r="C1579" s="157"/>
      <c r="D1579" s="157"/>
      <c r="E1579" s="157"/>
      <c r="F1579" s="157"/>
    </row>
    <row r="1580" spans="1:6" ht="15.75" x14ac:dyDescent="0.25">
      <c r="A1580" s="157"/>
      <c r="B1580" s="157"/>
      <c r="C1580" s="157"/>
      <c r="D1580" s="157"/>
      <c r="E1580" s="157"/>
      <c r="F1580" s="157"/>
    </row>
    <row r="1581" spans="1:6" ht="15.75" x14ac:dyDescent="0.25">
      <c r="A1581" s="157"/>
      <c r="B1581" s="157"/>
      <c r="C1581" s="157"/>
      <c r="D1581" s="157"/>
      <c r="E1581" s="157"/>
      <c r="F1581" s="157"/>
    </row>
    <row r="1582" spans="1:6" ht="15.75" x14ac:dyDescent="0.25">
      <c r="A1582" s="157"/>
      <c r="B1582" s="157"/>
      <c r="C1582" s="157"/>
      <c r="D1582" s="157"/>
      <c r="E1582" s="157"/>
      <c r="F1582" s="157"/>
    </row>
    <row r="1583" spans="1:6" ht="15.75" x14ac:dyDescent="0.25">
      <c r="A1583" s="157"/>
      <c r="B1583" s="157"/>
      <c r="C1583" s="157"/>
      <c r="D1583" s="157"/>
      <c r="E1583" s="157"/>
      <c r="F1583" s="157"/>
    </row>
    <row r="1584" spans="1:6" ht="15.75" x14ac:dyDescent="0.25">
      <c r="A1584" s="157"/>
      <c r="B1584" s="157"/>
      <c r="C1584" s="157"/>
      <c r="D1584" s="157"/>
      <c r="E1584" s="157"/>
      <c r="F1584" s="157"/>
    </row>
    <row r="1585" spans="1:6" ht="15.75" x14ac:dyDescent="0.25">
      <c r="A1585" s="157"/>
      <c r="B1585" s="157"/>
      <c r="C1585" s="157"/>
      <c r="D1585" s="157"/>
      <c r="E1585" s="157"/>
      <c r="F1585" s="157"/>
    </row>
    <row r="1586" spans="1:6" ht="15.75" x14ac:dyDescent="0.25">
      <c r="A1586" s="157"/>
      <c r="B1586" s="157"/>
      <c r="C1586" s="157"/>
      <c r="D1586" s="157"/>
      <c r="E1586" s="157"/>
      <c r="F1586" s="157"/>
    </row>
    <row r="1587" spans="1:6" ht="15.75" x14ac:dyDescent="0.25">
      <c r="A1587" s="157"/>
      <c r="B1587" s="157"/>
      <c r="C1587" s="157"/>
      <c r="D1587" s="157"/>
      <c r="E1587" s="157"/>
      <c r="F1587" s="157"/>
    </row>
    <row r="1588" spans="1:6" ht="15.75" x14ac:dyDescent="0.25">
      <c r="A1588" s="157"/>
      <c r="B1588" s="157"/>
      <c r="C1588" s="157"/>
      <c r="D1588" s="157"/>
      <c r="E1588" s="157"/>
      <c r="F1588" s="157"/>
    </row>
    <row r="1589" spans="1:6" ht="15.75" x14ac:dyDescent="0.25">
      <c r="A1589" s="157"/>
      <c r="B1589" s="157"/>
      <c r="C1589" s="157"/>
      <c r="D1589" s="157"/>
      <c r="E1589" s="157"/>
      <c r="F1589" s="157"/>
    </row>
    <row r="1590" spans="1:6" ht="15.75" x14ac:dyDescent="0.25">
      <c r="A1590" s="157"/>
      <c r="B1590" s="157"/>
      <c r="C1590" s="157"/>
      <c r="D1590" s="157"/>
      <c r="E1590" s="157"/>
      <c r="F1590" s="157"/>
    </row>
    <row r="1591" spans="1:6" ht="15.75" x14ac:dyDescent="0.25">
      <c r="A1591" s="157"/>
      <c r="B1591" s="157"/>
      <c r="C1591" s="157"/>
      <c r="D1591" s="157"/>
      <c r="E1591" s="157"/>
      <c r="F1591" s="157"/>
    </row>
    <row r="1592" spans="1:6" ht="15.75" x14ac:dyDescent="0.25">
      <c r="A1592" s="157"/>
      <c r="B1592" s="157"/>
      <c r="C1592" s="157"/>
      <c r="D1592" s="157"/>
      <c r="E1592" s="157"/>
      <c r="F1592" s="157"/>
    </row>
    <row r="1593" spans="1:6" ht="15.75" x14ac:dyDescent="0.25">
      <c r="A1593" s="157"/>
      <c r="B1593" s="157"/>
      <c r="C1593" s="157"/>
      <c r="D1593" s="157"/>
      <c r="E1593" s="157"/>
      <c r="F1593" s="157"/>
    </row>
    <row r="1594" spans="1:6" ht="15.75" x14ac:dyDescent="0.25">
      <c r="A1594" s="157"/>
      <c r="B1594" s="157"/>
      <c r="C1594" s="157"/>
      <c r="D1594" s="157"/>
      <c r="E1594" s="157"/>
      <c r="F1594" s="157"/>
    </row>
    <row r="1595" spans="1:6" ht="15.75" x14ac:dyDescent="0.25">
      <c r="A1595" s="157"/>
      <c r="B1595" s="157"/>
      <c r="C1595" s="157"/>
      <c r="D1595" s="157"/>
      <c r="E1595" s="157"/>
      <c r="F1595" s="157"/>
    </row>
    <row r="1596" spans="1:6" ht="15.75" x14ac:dyDescent="0.25">
      <c r="A1596" s="157"/>
      <c r="B1596" s="157"/>
      <c r="C1596" s="157"/>
      <c r="D1596" s="157"/>
      <c r="E1596" s="157"/>
      <c r="F1596" s="157"/>
    </row>
    <row r="1597" spans="1:6" ht="15.75" x14ac:dyDescent="0.25">
      <c r="A1597" s="157"/>
      <c r="B1597" s="157"/>
      <c r="C1597" s="157"/>
      <c r="D1597" s="157"/>
      <c r="E1597" s="157"/>
      <c r="F1597" s="157"/>
    </row>
    <row r="1598" spans="1:6" ht="15.75" x14ac:dyDescent="0.25">
      <c r="A1598" s="157"/>
      <c r="B1598" s="157"/>
      <c r="C1598" s="157"/>
      <c r="D1598" s="157"/>
      <c r="E1598" s="157"/>
      <c r="F1598" s="157"/>
    </row>
    <row r="1599" spans="1:6" ht="15.75" x14ac:dyDescent="0.25">
      <c r="A1599" s="157"/>
      <c r="B1599" s="157"/>
      <c r="C1599" s="157"/>
      <c r="D1599" s="157"/>
      <c r="E1599" s="157"/>
      <c r="F1599" s="157"/>
    </row>
    <row r="1600" spans="1:6" ht="15.75" x14ac:dyDescent="0.25">
      <c r="A1600" s="157"/>
      <c r="B1600" s="157"/>
      <c r="C1600" s="157"/>
      <c r="D1600" s="157"/>
      <c r="E1600" s="157"/>
      <c r="F1600" s="157"/>
    </row>
    <row r="1601" spans="1:6" ht="15.75" x14ac:dyDescent="0.25">
      <c r="A1601" s="157"/>
      <c r="B1601" s="157"/>
      <c r="C1601" s="157"/>
      <c r="D1601" s="157"/>
      <c r="E1601" s="157"/>
      <c r="F1601" s="157"/>
    </row>
    <row r="1602" spans="1:6" ht="15.75" x14ac:dyDescent="0.25">
      <c r="A1602" s="157"/>
      <c r="B1602" s="157"/>
      <c r="C1602" s="157"/>
      <c r="D1602" s="157"/>
      <c r="E1602" s="157"/>
      <c r="F1602" s="157"/>
    </row>
    <row r="1603" spans="1:6" ht="15.75" x14ac:dyDescent="0.25">
      <c r="A1603" s="157"/>
      <c r="B1603" s="157"/>
      <c r="C1603" s="157"/>
      <c r="D1603" s="157"/>
      <c r="E1603" s="157"/>
      <c r="F1603" s="157"/>
    </row>
    <row r="1604" spans="1:6" ht="15.75" x14ac:dyDescent="0.25">
      <c r="A1604" s="157"/>
      <c r="B1604" s="157"/>
      <c r="C1604" s="157"/>
      <c r="D1604" s="157"/>
      <c r="E1604" s="157"/>
      <c r="F1604" s="157"/>
    </row>
    <row r="1605" spans="1:6" ht="15.75" x14ac:dyDescent="0.25">
      <c r="A1605" s="157"/>
      <c r="B1605" s="157"/>
      <c r="C1605" s="157"/>
      <c r="D1605" s="157"/>
      <c r="E1605" s="157"/>
      <c r="F1605" s="157"/>
    </row>
    <row r="1606" spans="1:6" ht="15.75" x14ac:dyDescent="0.25">
      <c r="A1606" s="157"/>
      <c r="B1606" s="157"/>
      <c r="C1606" s="157"/>
      <c r="D1606" s="157"/>
      <c r="E1606" s="157"/>
      <c r="F1606" s="157"/>
    </row>
    <row r="1607" spans="1:6" ht="15.75" x14ac:dyDescent="0.25">
      <c r="A1607" s="157"/>
      <c r="B1607" s="157"/>
      <c r="C1607" s="157"/>
      <c r="D1607" s="157"/>
      <c r="E1607" s="157"/>
      <c r="F1607" s="157"/>
    </row>
    <row r="1608" spans="1:6" ht="15.75" x14ac:dyDescent="0.25">
      <c r="A1608" s="157"/>
      <c r="B1608" s="157"/>
      <c r="C1608" s="157"/>
      <c r="D1608" s="157"/>
      <c r="E1608" s="157"/>
      <c r="F1608" s="157"/>
    </row>
    <row r="1609" spans="1:6" ht="15.75" x14ac:dyDescent="0.25">
      <c r="A1609" s="157"/>
      <c r="B1609" s="157"/>
      <c r="C1609" s="157"/>
      <c r="D1609" s="157"/>
      <c r="E1609" s="157"/>
      <c r="F1609" s="157"/>
    </row>
    <row r="1610" spans="1:6" ht="15.75" x14ac:dyDescent="0.25">
      <c r="A1610" s="157"/>
      <c r="B1610" s="157"/>
      <c r="C1610" s="157"/>
      <c r="D1610" s="157"/>
      <c r="E1610" s="157"/>
      <c r="F1610" s="157"/>
    </row>
    <row r="1611" spans="1:6" ht="15.75" x14ac:dyDescent="0.25">
      <c r="A1611" s="157"/>
      <c r="B1611" s="157"/>
      <c r="C1611" s="157"/>
      <c r="D1611" s="157"/>
      <c r="E1611" s="157"/>
      <c r="F1611" s="157"/>
    </row>
    <row r="1612" spans="1:6" ht="15.75" x14ac:dyDescent="0.25">
      <c r="A1612" s="157"/>
      <c r="B1612" s="157"/>
      <c r="C1612" s="157"/>
      <c r="D1612" s="157"/>
      <c r="E1612" s="157"/>
      <c r="F1612" s="157"/>
    </row>
    <row r="1613" spans="1:6" ht="15.75" x14ac:dyDescent="0.25">
      <c r="A1613" s="157"/>
      <c r="B1613" s="157"/>
      <c r="C1613" s="157"/>
      <c r="D1613" s="157"/>
      <c r="E1613" s="157"/>
      <c r="F1613" s="157"/>
    </row>
    <row r="1614" spans="1:6" ht="15.75" x14ac:dyDescent="0.25">
      <c r="A1614" s="157"/>
      <c r="B1614" s="157"/>
      <c r="C1614" s="157"/>
      <c r="D1614" s="157"/>
      <c r="E1614" s="157"/>
      <c r="F1614" s="157"/>
    </row>
    <row r="1615" spans="1:6" ht="15.75" x14ac:dyDescent="0.25">
      <c r="A1615" s="157"/>
      <c r="B1615" s="157"/>
      <c r="C1615" s="157"/>
      <c r="D1615" s="157"/>
      <c r="E1615" s="157"/>
      <c r="F1615" s="157"/>
    </row>
    <row r="1616" spans="1:6" ht="15.75" x14ac:dyDescent="0.25">
      <c r="A1616" s="157"/>
      <c r="B1616" s="157"/>
      <c r="C1616" s="157"/>
      <c r="D1616" s="157"/>
      <c r="E1616" s="157"/>
      <c r="F1616" s="157"/>
    </row>
    <row r="1617" spans="1:6" ht="15.75" x14ac:dyDescent="0.25">
      <c r="A1617" s="157"/>
      <c r="B1617" s="157"/>
      <c r="C1617" s="157"/>
      <c r="D1617" s="157"/>
      <c r="E1617" s="157"/>
      <c r="F1617" s="157"/>
    </row>
    <row r="1618" spans="1:6" ht="15.75" x14ac:dyDescent="0.25">
      <c r="A1618" s="157"/>
      <c r="B1618" s="157"/>
      <c r="C1618" s="157"/>
      <c r="D1618" s="157"/>
      <c r="E1618" s="157"/>
      <c r="F1618" s="157"/>
    </row>
    <row r="1619" spans="1:6" ht="15.75" x14ac:dyDescent="0.25">
      <c r="A1619" s="157"/>
      <c r="B1619" s="157"/>
      <c r="C1619" s="157"/>
      <c r="D1619" s="157"/>
      <c r="E1619" s="157"/>
      <c r="F1619" s="157"/>
    </row>
    <row r="1620" spans="1:6" ht="15.75" x14ac:dyDescent="0.25">
      <c r="A1620" s="157"/>
      <c r="B1620" s="157"/>
      <c r="C1620" s="157"/>
      <c r="D1620" s="157"/>
      <c r="E1620" s="157"/>
      <c r="F1620" s="157"/>
    </row>
    <row r="1621" spans="1:6" ht="15.75" x14ac:dyDescent="0.25">
      <c r="A1621" s="157"/>
      <c r="B1621" s="157"/>
      <c r="C1621" s="157"/>
      <c r="D1621" s="157"/>
      <c r="E1621" s="157"/>
      <c r="F1621" s="157"/>
    </row>
    <row r="1622" spans="1:6" ht="15.75" x14ac:dyDescent="0.25">
      <c r="A1622" s="157"/>
      <c r="B1622" s="157"/>
      <c r="C1622" s="157"/>
      <c r="D1622" s="157"/>
      <c r="E1622" s="157"/>
      <c r="F1622" s="157"/>
    </row>
    <row r="1623" spans="1:6" ht="15.75" x14ac:dyDescent="0.25">
      <c r="A1623" s="157"/>
      <c r="B1623" s="157"/>
      <c r="C1623" s="157"/>
      <c r="D1623" s="157"/>
      <c r="E1623" s="157"/>
      <c r="F1623" s="157"/>
    </row>
    <row r="1624" spans="1:6" ht="15.75" x14ac:dyDescent="0.25">
      <c r="A1624" s="157"/>
      <c r="B1624" s="157"/>
      <c r="C1624" s="157"/>
      <c r="D1624" s="157"/>
      <c r="E1624" s="157"/>
      <c r="F1624" s="157"/>
    </row>
    <row r="1625" spans="1:6" ht="15.75" x14ac:dyDescent="0.25">
      <c r="A1625" s="157"/>
      <c r="B1625" s="157"/>
      <c r="C1625" s="157"/>
      <c r="D1625" s="157"/>
      <c r="E1625" s="157"/>
      <c r="F1625" s="157"/>
    </row>
    <row r="1626" spans="1:6" ht="15.75" x14ac:dyDescent="0.25">
      <c r="A1626" s="157"/>
      <c r="B1626" s="157"/>
      <c r="C1626" s="157"/>
      <c r="D1626" s="157"/>
      <c r="E1626" s="157"/>
      <c r="F1626" s="157"/>
    </row>
    <row r="1627" spans="1:6" ht="15.75" x14ac:dyDescent="0.25">
      <c r="A1627" s="157"/>
      <c r="B1627" s="157"/>
      <c r="C1627" s="157"/>
      <c r="D1627" s="157"/>
      <c r="E1627" s="157"/>
      <c r="F1627" s="157"/>
    </row>
    <row r="1628" spans="1:6" ht="15.75" x14ac:dyDescent="0.25">
      <c r="A1628" s="157"/>
      <c r="B1628" s="157"/>
      <c r="C1628" s="157"/>
      <c r="D1628" s="157"/>
      <c r="E1628" s="157"/>
      <c r="F1628" s="157"/>
    </row>
    <row r="1629" spans="1:6" ht="15.75" x14ac:dyDescent="0.25">
      <c r="A1629" s="157"/>
      <c r="B1629" s="157"/>
      <c r="C1629" s="157"/>
      <c r="D1629" s="157"/>
      <c r="E1629" s="157"/>
      <c r="F1629" s="157"/>
    </row>
    <row r="1630" spans="1:6" ht="15.75" x14ac:dyDescent="0.25">
      <c r="A1630" s="157"/>
      <c r="B1630" s="157"/>
      <c r="C1630" s="157"/>
      <c r="D1630" s="157"/>
      <c r="E1630" s="157"/>
      <c r="F1630" s="157"/>
    </row>
    <row r="1631" spans="1:6" ht="15.75" x14ac:dyDescent="0.25">
      <c r="A1631" s="157"/>
      <c r="B1631" s="157"/>
      <c r="C1631" s="157"/>
      <c r="D1631" s="157"/>
      <c r="E1631" s="157"/>
      <c r="F1631" s="157"/>
    </row>
    <row r="1632" spans="1:6" ht="15.75" x14ac:dyDescent="0.25">
      <c r="A1632" s="157"/>
      <c r="B1632" s="157"/>
      <c r="C1632" s="157"/>
      <c r="D1632" s="157"/>
      <c r="E1632" s="157"/>
      <c r="F1632" s="157"/>
    </row>
    <row r="1633" spans="1:6" ht="15.75" x14ac:dyDescent="0.25">
      <c r="A1633" s="157"/>
      <c r="B1633" s="157"/>
      <c r="C1633" s="157"/>
      <c r="D1633" s="157"/>
      <c r="E1633" s="157"/>
      <c r="F1633" s="157"/>
    </row>
    <row r="1634" spans="1:6" ht="15.75" x14ac:dyDescent="0.25">
      <c r="A1634" s="157"/>
      <c r="B1634" s="157"/>
      <c r="C1634" s="157"/>
      <c r="D1634" s="157"/>
      <c r="E1634" s="157"/>
      <c r="F1634" s="157"/>
    </row>
    <row r="1635" spans="1:6" ht="15.75" x14ac:dyDescent="0.25">
      <c r="A1635" s="157"/>
      <c r="B1635" s="157"/>
      <c r="C1635" s="157"/>
      <c r="D1635" s="157"/>
      <c r="E1635" s="157"/>
      <c r="F1635" s="157"/>
    </row>
    <row r="1636" spans="1:6" ht="15.75" x14ac:dyDescent="0.25">
      <c r="A1636" s="157"/>
      <c r="B1636" s="157"/>
      <c r="C1636" s="157"/>
      <c r="D1636" s="157"/>
      <c r="E1636" s="157"/>
      <c r="F1636" s="157"/>
    </row>
    <row r="1637" spans="1:6" ht="15.75" x14ac:dyDescent="0.25">
      <c r="A1637" s="157"/>
      <c r="B1637" s="157"/>
      <c r="C1637" s="157"/>
      <c r="D1637" s="157"/>
      <c r="E1637" s="157"/>
      <c r="F1637" s="157"/>
    </row>
    <row r="1638" spans="1:6" ht="15.75" x14ac:dyDescent="0.25">
      <c r="A1638" s="157"/>
      <c r="B1638" s="157"/>
      <c r="C1638" s="157"/>
      <c r="D1638" s="157"/>
      <c r="E1638" s="157"/>
      <c r="F1638" s="157"/>
    </row>
    <row r="1639" spans="1:6" ht="15.75" x14ac:dyDescent="0.25">
      <c r="A1639" s="157"/>
      <c r="B1639" s="157"/>
      <c r="C1639" s="157"/>
      <c r="D1639" s="157"/>
      <c r="E1639" s="157"/>
      <c r="F1639" s="157"/>
    </row>
    <row r="1640" spans="1:6" ht="15.75" x14ac:dyDescent="0.25">
      <c r="A1640" s="157"/>
      <c r="B1640" s="157"/>
      <c r="C1640" s="157"/>
      <c r="D1640" s="157"/>
      <c r="E1640" s="157"/>
      <c r="F1640" s="157"/>
    </row>
    <row r="1641" spans="1:6" ht="15.75" x14ac:dyDescent="0.25">
      <c r="A1641" s="157"/>
      <c r="B1641" s="157"/>
      <c r="C1641" s="157"/>
      <c r="D1641" s="157"/>
      <c r="E1641" s="157"/>
      <c r="F1641" s="157"/>
    </row>
    <row r="1642" spans="1:6" ht="15.75" x14ac:dyDescent="0.25">
      <c r="A1642" s="157"/>
      <c r="B1642" s="157"/>
      <c r="C1642" s="157"/>
      <c r="D1642" s="157"/>
      <c r="E1642" s="157"/>
      <c r="F1642" s="157"/>
    </row>
    <row r="1643" spans="1:6" ht="15.75" x14ac:dyDescent="0.25">
      <c r="A1643" s="157"/>
      <c r="B1643" s="157"/>
      <c r="C1643" s="157"/>
      <c r="D1643" s="157"/>
      <c r="E1643" s="157"/>
      <c r="F1643" s="157"/>
    </row>
    <row r="1644" spans="1:6" ht="15.75" x14ac:dyDescent="0.25">
      <c r="A1644" s="157"/>
      <c r="B1644" s="157"/>
      <c r="C1644" s="157"/>
      <c r="D1644" s="157"/>
      <c r="E1644" s="157"/>
      <c r="F1644" s="157"/>
    </row>
    <row r="1645" spans="1:6" ht="15.75" x14ac:dyDescent="0.25">
      <c r="A1645" s="157"/>
      <c r="B1645" s="157"/>
      <c r="C1645" s="157"/>
      <c r="D1645" s="157"/>
      <c r="E1645" s="157"/>
      <c r="F1645" s="157"/>
    </row>
    <row r="1646" spans="1:6" ht="15.75" x14ac:dyDescent="0.25">
      <c r="A1646" s="157"/>
      <c r="B1646" s="157"/>
      <c r="C1646" s="157"/>
      <c r="D1646" s="157"/>
      <c r="E1646" s="157"/>
      <c r="F1646" s="157"/>
    </row>
    <row r="1647" spans="1:6" ht="15.75" x14ac:dyDescent="0.25">
      <c r="A1647" s="157"/>
      <c r="B1647" s="157"/>
      <c r="C1647" s="157"/>
      <c r="D1647" s="157"/>
      <c r="E1647" s="157"/>
      <c r="F1647" s="157"/>
    </row>
    <row r="1648" spans="1:6" ht="15.75" x14ac:dyDescent="0.25">
      <c r="A1648" s="157"/>
      <c r="B1648" s="157"/>
      <c r="C1648" s="157"/>
      <c r="D1648" s="157"/>
      <c r="E1648" s="157"/>
      <c r="F1648" s="157"/>
    </row>
    <row r="1649" spans="1:6" ht="15.75" x14ac:dyDescent="0.25">
      <c r="A1649" s="157"/>
      <c r="B1649" s="157"/>
      <c r="C1649" s="157"/>
      <c r="D1649" s="157"/>
      <c r="E1649" s="157"/>
      <c r="F1649" s="157"/>
    </row>
    <row r="1650" spans="1:6" ht="15.75" x14ac:dyDescent="0.25">
      <c r="A1650" s="157"/>
      <c r="B1650" s="157"/>
      <c r="C1650" s="157"/>
      <c r="D1650" s="157"/>
      <c r="E1650" s="157"/>
      <c r="F1650" s="157"/>
    </row>
    <row r="1651" spans="1:6" ht="15.75" x14ac:dyDescent="0.25">
      <c r="A1651" s="157"/>
      <c r="B1651" s="157"/>
      <c r="C1651" s="157"/>
      <c r="D1651" s="157"/>
      <c r="E1651" s="157"/>
      <c r="F1651" s="157"/>
    </row>
    <row r="1652" spans="1:6" ht="15.75" x14ac:dyDescent="0.25">
      <c r="A1652" s="157"/>
      <c r="B1652" s="157"/>
      <c r="C1652" s="157"/>
      <c r="D1652" s="157"/>
      <c r="E1652" s="157"/>
      <c r="F1652" s="157"/>
    </row>
    <row r="1653" spans="1:6" ht="15.75" x14ac:dyDescent="0.25">
      <c r="A1653" s="157"/>
      <c r="B1653" s="157"/>
      <c r="C1653" s="157"/>
      <c r="D1653" s="157"/>
      <c r="E1653" s="157"/>
      <c r="F1653" s="157"/>
    </row>
    <row r="1654" spans="1:6" ht="15.75" x14ac:dyDescent="0.25">
      <c r="A1654" s="157"/>
      <c r="B1654" s="157"/>
      <c r="C1654" s="157"/>
      <c r="D1654" s="157"/>
      <c r="E1654" s="157"/>
      <c r="F1654" s="157"/>
    </row>
    <row r="1655" spans="1:6" ht="15.75" x14ac:dyDescent="0.25">
      <c r="A1655" s="157"/>
      <c r="B1655" s="157"/>
      <c r="C1655" s="157"/>
      <c r="D1655" s="157"/>
      <c r="E1655" s="157"/>
      <c r="F1655" s="157"/>
    </row>
    <row r="1656" spans="1:6" ht="15.75" x14ac:dyDescent="0.25">
      <c r="A1656" s="157"/>
      <c r="B1656" s="157"/>
      <c r="C1656" s="157"/>
      <c r="D1656" s="157"/>
      <c r="E1656" s="157"/>
      <c r="F1656" s="157"/>
    </row>
    <row r="1657" spans="1:6" ht="15.75" x14ac:dyDescent="0.25">
      <c r="A1657" s="157"/>
      <c r="B1657" s="157"/>
      <c r="C1657" s="157"/>
      <c r="D1657" s="157"/>
      <c r="E1657" s="157"/>
      <c r="F1657" s="157"/>
    </row>
    <row r="1658" spans="1:6" ht="15.75" x14ac:dyDescent="0.25">
      <c r="A1658" s="157"/>
      <c r="B1658" s="157"/>
      <c r="C1658" s="157"/>
      <c r="D1658" s="157"/>
      <c r="E1658" s="157"/>
      <c r="F1658" s="157"/>
    </row>
    <row r="1659" spans="1:6" ht="15.75" x14ac:dyDescent="0.25">
      <c r="A1659" s="157"/>
      <c r="B1659" s="157"/>
      <c r="C1659" s="157"/>
      <c r="D1659" s="157"/>
      <c r="E1659" s="157"/>
      <c r="F1659" s="157"/>
    </row>
    <row r="1660" spans="1:6" ht="15.75" x14ac:dyDescent="0.25">
      <c r="A1660" s="157"/>
      <c r="B1660" s="157"/>
      <c r="C1660" s="157"/>
      <c r="D1660" s="157"/>
      <c r="E1660" s="157"/>
      <c r="F1660" s="157"/>
    </row>
    <row r="1661" spans="1:6" ht="15.75" x14ac:dyDescent="0.25">
      <c r="A1661" s="157"/>
      <c r="B1661" s="157"/>
      <c r="C1661" s="157"/>
      <c r="D1661" s="157"/>
      <c r="E1661" s="157"/>
      <c r="F1661" s="157"/>
    </row>
    <row r="1662" spans="1:6" ht="15.75" x14ac:dyDescent="0.25">
      <c r="A1662" s="157"/>
      <c r="B1662" s="157"/>
      <c r="C1662" s="157"/>
      <c r="D1662" s="157"/>
      <c r="E1662" s="157"/>
      <c r="F1662" s="157"/>
    </row>
    <row r="1663" spans="1:6" ht="15.75" x14ac:dyDescent="0.25">
      <c r="A1663" s="157"/>
      <c r="B1663" s="157"/>
      <c r="C1663" s="157"/>
      <c r="D1663" s="157"/>
      <c r="E1663" s="157"/>
      <c r="F1663" s="157"/>
    </row>
    <row r="1664" spans="1:6" ht="15.75" x14ac:dyDescent="0.25">
      <c r="A1664" s="157"/>
      <c r="B1664" s="157"/>
      <c r="C1664" s="157"/>
      <c r="D1664" s="157"/>
      <c r="E1664" s="157"/>
      <c r="F1664" s="157"/>
    </row>
    <row r="1665" spans="1:6" ht="15.75" x14ac:dyDescent="0.25">
      <c r="A1665" s="157"/>
      <c r="B1665" s="157"/>
      <c r="C1665" s="157"/>
      <c r="D1665" s="157"/>
      <c r="E1665" s="157"/>
      <c r="F1665" s="157"/>
    </row>
    <row r="1666" spans="1:6" ht="15.75" x14ac:dyDescent="0.25">
      <c r="A1666" s="157"/>
      <c r="B1666" s="157"/>
      <c r="C1666" s="157"/>
      <c r="D1666" s="157"/>
      <c r="E1666" s="157"/>
      <c r="F1666" s="157"/>
    </row>
    <row r="1667" spans="1:6" ht="15.75" x14ac:dyDescent="0.25">
      <c r="A1667" s="157"/>
      <c r="B1667" s="157"/>
      <c r="C1667" s="157"/>
      <c r="D1667" s="157"/>
      <c r="E1667" s="157"/>
      <c r="F1667" s="157"/>
    </row>
    <row r="1668" spans="1:6" ht="15.75" x14ac:dyDescent="0.25">
      <c r="A1668" s="157"/>
      <c r="B1668" s="157"/>
      <c r="C1668" s="157"/>
      <c r="D1668" s="157"/>
      <c r="E1668" s="157"/>
      <c r="F1668" s="157"/>
    </row>
    <row r="1669" spans="1:6" ht="15.75" x14ac:dyDescent="0.25">
      <c r="A1669" s="157"/>
      <c r="B1669" s="157"/>
      <c r="C1669" s="157"/>
      <c r="D1669" s="157"/>
      <c r="E1669" s="157"/>
      <c r="F1669" s="157"/>
    </row>
    <row r="1670" spans="1:6" ht="15.75" x14ac:dyDescent="0.25">
      <c r="A1670" s="157"/>
      <c r="B1670" s="157"/>
      <c r="C1670" s="157"/>
      <c r="D1670" s="157"/>
      <c r="E1670" s="157"/>
      <c r="F1670" s="157"/>
    </row>
    <row r="1671" spans="1:6" ht="15.75" x14ac:dyDescent="0.25">
      <c r="A1671" s="157"/>
      <c r="B1671" s="157"/>
      <c r="C1671" s="157"/>
      <c r="D1671" s="157"/>
      <c r="E1671" s="157"/>
      <c r="F1671" s="157"/>
    </row>
    <row r="1672" spans="1:6" ht="15.75" x14ac:dyDescent="0.25">
      <c r="A1672" s="157"/>
      <c r="B1672" s="157"/>
      <c r="C1672" s="157"/>
      <c r="D1672" s="157"/>
      <c r="E1672" s="157"/>
      <c r="F1672" s="157"/>
    </row>
    <row r="1673" spans="1:6" ht="15.75" x14ac:dyDescent="0.25">
      <c r="A1673" s="157"/>
      <c r="B1673" s="157"/>
      <c r="C1673" s="157"/>
      <c r="D1673" s="157"/>
      <c r="E1673" s="157"/>
      <c r="F1673" s="157"/>
    </row>
    <row r="1674" spans="1:6" ht="15.75" x14ac:dyDescent="0.25">
      <c r="A1674" s="157"/>
      <c r="B1674" s="157"/>
      <c r="C1674" s="157"/>
      <c r="D1674" s="157"/>
      <c r="E1674" s="157"/>
      <c r="F1674" s="157"/>
    </row>
    <row r="1675" spans="1:6" ht="15.75" x14ac:dyDescent="0.25">
      <c r="A1675" s="157"/>
      <c r="B1675" s="157"/>
      <c r="C1675" s="157"/>
      <c r="D1675" s="157"/>
      <c r="E1675" s="157"/>
      <c r="F1675" s="157"/>
    </row>
    <row r="1676" spans="1:6" ht="15.75" x14ac:dyDescent="0.25">
      <c r="A1676" s="157"/>
      <c r="B1676" s="157"/>
      <c r="C1676" s="157"/>
      <c r="D1676" s="157"/>
      <c r="E1676" s="157"/>
      <c r="F1676" s="157"/>
    </row>
    <row r="1677" spans="1:6" ht="15.75" x14ac:dyDescent="0.25">
      <c r="A1677" s="157"/>
      <c r="B1677" s="157"/>
      <c r="C1677" s="157"/>
      <c r="D1677" s="157"/>
      <c r="E1677" s="157"/>
      <c r="F1677" s="157"/>
    </row>
    <row r="1678" spans="1:6" ht="15.75" x14ac:dyDescent="0.25">
      <c r="A1678" s="157"/>
      <c r="B1678" s="157"/>
      <c r="C1678" s="157"/>
      <c r="D1678" s="157"/>
      <c r="E1678" s="157"/>
      <c r="F1678" s="157"/>
    </row>
    <row r="1679" spans="1:6" ht="15.75" x14ac:dyDescent="0.25">
      <c r="A1679" s="157"/>
      <c r="B1679" s="157"/>
      <c r="C1679" s="157"/>
      <c r="D1679" s="157"/>
      <c r="E1679" s="157"/>
      <c r="F1679" s="157"/>
    </row>
    <row r="1680" spans="1:6" ht="15.75" x14ac:dyDescent="0.25">
      <c r="A1680" s="157"/>
      <c r="B1680" s="157"/>
      <c r="C1680" s="157"/>
      <c r="D1680" s="157"/>
      <c r="E1680" s="157"/>
      <c r="F1680" s="157"/>
    </row>
    <row r="1681" spans="1:6" ht="15.75" x14ac:dyDescent="0.25">
      <c r="A1681" s="157"/>
      <c r="B1681" s="157"/>
      <c r="C1681" s="157"/>
      <c r="D1681" s="157"/>
      <c r="E1681" s="157"/>
      <c r="F1681" s="157"/>
    </row>
    <row r="1682" spans="1:6" ht="15.75" x14ac:dyDescent="0.25">
      <c r="A1682" s="157"/>
      <c r="B1682" s="157"/>
      <c r="C1682" s="157"/>
      <c r="D1682" s="157"/>
      <c r="E1682" s="157"/>
      <c r="F1682" s="157"/>
    </row>
    <row r="1683" spans="1:6" ht="15.75" x14ac:dyDescent="0.25">
      <c r="A1683" s="157"/>
      <c r="B1683" s="157"/>
      <c r="C1683" s="157"/>
      <c r="D1683" s="157"/>
      <c r="E1683" s="157"/>
      <c r="F1683" s="157"/>
    </row>
    <row r="1684" spans="1:6" ht="15.75" x14ac:dyDescent="0.25">
      <c r="A1684" s="157"/>
      <c r="B1684" s="157"/>
      <c r="C1684" s="157"/>
      <c r="D1684" s="157"/>
      <c r="E1684" s="157"/>
      <c r="F1684" s="157"/>
    </row>
    <row r="1685" spans="1:6" ht="15.75" x14ac:dyDescent="0.25">
      <c r="A1685" s="157"/>
      <c r="B1685" s="157"/>
      <c r="C1685" s="157"/>
      <c r="D1685" s="157"/>
      <c r="E1685" s="157"/>
      <c r="F1685" s="157"/>
    </row>
    <row r="1686" spans="1:6" ht="15.75" x14ac:dyDescent="0.25">
      <c r="A1686" s="157"/>
      <c r="B1686" s="157"/>
      <c r="C1686" s="157"/>
      <c r="D1686" s="157"/>
      <c r="E1686" s="157"/>
      <c r="F1686" s="157"/>
    </row>
    <row r="1687" spans="1:6" ht="15.75" x14ac:dyDescent="0.25">
      <c r="A1687" s="157"/>
      <c r="B1687" s="157"/>
      <c r="C1687" s="157"/>
      <c r="D1687" s="157"/>
      <c r="E1687" s="157"/>
      <c r="F1687" s="157"/>
    </row>
    <row r="1688" spans="1:6" ht="15.75" x14ac:dyDescent="0.25">
      <c r="A1688" s="157"/>
      <c r="B1688" s="157"/>
      <c r="C1688" s="157"/>
      <c r="D1688" s="157"/>
      <c r="E1688" s="157"/>
      <c r="F1688" s="157"/>
    </row>
    <row r="1689" spans="1:6" ht="15.75" x14ac:dyDescent="0.25">
      <c r="A1689" s="157"/>
      <c r="B1689" s="157"/>
      <c r="C1689" s="157"/>
      <c r="D1689" s="157"/>
      <c r="E1689" s="157"/>
      <c r="F1689" s="157"/>
    </row>
    <row r="1690" spans="1:6" ht="15.75" x14ac:dyDescent="0.25">
      <c r="A1690" s="157"/>
      <c r="B1690" s="157"/>
      <c r="C1690" s="157"/>
      <c r="D1690" s="157"/>
      <c r="E1690" s="157"/>
      <c r="F1690" s="157"/>
    </row>
    <row r="1691" spans="1:6" ht="15.75" x14ac:dyDescent="0.25">
      <c r="A1691" s="157"/>
      <c r="B1691" s="157"/>
      <c r="C1691" s="157"/>
      <c r="D1691" s="157"/>
      <c r="E1691" s="157"/>
      <c r="F1691" s="157"/>
    </row>
    <row r="1692" spans="1:6" ht="15.75" x14ac:dyDescent="0.25">
      <c r="A1692" s="157"/>
      <c r="B1692" s="157"/>
      <c r="C1692" s="157"/>
      <c r="D1692" s="157"/>
      <c r="E1692" s="157"/>
      <c r="F1692" s="157"/>
    </row>
    <row r="1693" spans="1:6" ht="15.75" x14ac:dyDescent="0.25">
      <c r="A1693" s="157"/>
      <c r="B1693" s="157"/>
      <c r="C1693" s="157"/>
      <c r="D1693" s="157"/>
      <c r="E1693" s="157"/>
      <c r="F1693" s="157"/>
    </row>
    <row r="1694" spans="1:6" ht="15.75" x14ac:dyDescent="0.25">
      <c r="A1694" s="157"/>
      <c r="B1694" s="157"/>
      <c r="C1694" s="157"/>
      <c r="D1694" s="157"/>
      <c r="E1694" s="157"/>
      <c r="F1694" s="157"/>
    </row>
    <row r="1695" spans="1:6" ht="15.75" x14ac:dyDescent="0.25">
      <c r="A1695" s="157"/>
      <c r="B1695" s="157"/>
      <c r="C1695" s="157"/>
      <c r="D1695" s="157"/>
      <c r="E1695" s="157"/>
      <c r="F1695" s="157"/>
    </row>
    <row r="1696" spans="1:6" ht="15.75" x14ac:dyDescent="0.25">
      <c r="A1696" s="157"/>
      <c r="B1696" s="157"/>
      <c r="C1696" s="157"/>
      <c r="D1696" s="157"/>
      <c r="E1696" s="157"/>
      <c r="F1696" s="157"/>
    </row>
    <row r="1697" spans="1:6" ht="15.75" x14ac:dyDescent="0.25">
      <c r="A1697" s="157"/>
      <c r="B1697" s="157"/>
      <c r="C1697" s="157"/>
      <c r="D1697" s="157"/>
      <c r="E1697" s="157"/>
      <c r="F1697" s="157"/>
    </row>
    <row r="1698" spans="1:6" ht="15.75" x14ac:dyDescent="0.25">
      <c r="A1698" s="157"/>
      <c r="B1698" s="157"/>
      <c r="C1698" s="157"/>
      <c r="D1698" s="157"/>
      <c r="E1698" s="157"/>
      <c r="F1698" s="157"/>
    </row>
    <row r="1699" spans="1:6" ht="15.75" x14ac:dyDescent="0.25">
      <c r="A1699" s="157"/>
      <c r="B1699" s="157"/>
      <c r="C1699" s="157"/>
      <c r="D1699" s="157"/>
      <c r="E1699" s="157"/>
      <c r="F1699" s="157"/>
    </row>
    <row r="1700" spans="1:6" ht="15.75" x14ac:dyDescent="0.25">
      <c r="A1700" s="157"/>
      <c r="B1700" s="157"/>
      <c r="C1700" s="157"/>
      <c r="D1700" s="157"/>
      <c r="E1700" s="157"/>
      <c r="F1700" s="157"/>
    </row>
    <row r="1701" spans="1:6" ht="15.75" x14ac:dyDescent="0.25">
      <c r="A1701" s="157"/>
      <c r="B1701" s="157"/>
      <c r="C1701" s="157"/>
      <c r="D1701" s="157"/>
      <c r="E1701" s="157"/>
      <c r="F1701" s="157"/>
    </row>
    <row r="1702" spans="1:6" ht="15.75" x14ac:dyDescent="0.25">
      <c r="A1702" s="157"/>
      <c r="B1702" s="157"/>
      <c r="C1702" s="157"/>
      <c r="D1702" s="157"/>
      <c r="E1702" s="157"/>
      <c r="F1702" s="157"/>
    </row>
    <row r="1703" spans="1:6" ht="15.75" x14ac:dyDescent="0.25">
      <c r="A1703" s="157"/>
      <c r="B1703" s="157"/>
      <c r="C1703" s="157"/>
      <c r="D1703" s="157"/>
      <c r="E1703" s="157"/>
      <c r="F1703" s="157"/>
    </row>
    <row r="1704" spans="1:6" ht="15.75" x14ac:dyDescent="0.25">
      <c r="A1704" s="157"/>
      <c r="B1704" s="157"/>
      <c r="C1704" s="157"/>
      <c r="D1704" s="157"/>
      <c r="E1704" s="157"/>
      <c r="F1704" s="157"/>
    </row>
    <row r="1705" spans="1:6" ht="15.75" x14ac:dyDescent="0.25">
      <c r="A1705" s="157"/>
      <c r="B1705" s="157"/>
      <c r="C1705" s="157"/>
      <c r="D1705" s="157"/>
      <c r="E1705" s="157"/>
      <c r="F1705" s="157"/>
    </row>
    <row r="1706" spans="1:6" ht="15.75" x14ac:dyDescent="0.25">
      <c r="A1706" s="157"/>
      <c r="B1706" s="157"/>
      <c r="C1706" s="157"/>
      <c r="D1706" s="157"/>
      <c r="E1706" s="157"/>
      <c r="F1706" s="157"/>
    </row>
    <row r="1707" spans="1:6" ht="15.75" x14ac:dyDescent="0.25">
      <c r="A1707" s="157"/>
      <c r="B1707" s="157"/>
      <c r="C1707" s="157"/>
      <c r="D1707" s="157"/>
      <c r="E1707" s="157"/>
      <c r="F1707" s="157"/>
    </row>
    <row r="1708" spans="1:6" ht="15.75" x14ac:dyDescent="0.25">
      <c r="A1708" s="157"/>
      <c r="B1708" s="157"/>
      <c r="C1708" s="157"/>
      <c r="D1708" s="157"/>
      <c r="E1708" s="157"/>
      <c r="F1708" s="157"/>
    </row>
    <row r="1709" spans="1:6" ht="15.75" x14ac:dyDescent="0.25">
      <c r="A1709" s="157"/>
      <c r="B1709" s="157"/>
      <c r="C1709" s="157"/>
      <c r="D1709" s="157"/>
      <c r="E1709" s="157"/>
      <c r="F1709" s="157"/>
    </row>
    <row r="1710" spans="1:6" ht="15.75" x14ac:dyDescent="0.25">
      <c r="A1710" s="157"/>
      <c r="B1710" s="157"/>
      <c r="C1710" s="157"/>
      <c r="D1710" s="157"/>
      <c r="E1710" s="157"/>
      <c r="F1710" s="157"/>
    </row>
    <row r="1711" spans="1:6" ht="15.75" x14ac:dyDescent="0.25">
      <c r="A1711" s="157"/>
      <c r="B1711" s="157"/>
      <c r="C1711" s="157"/>
      <c r="D1711" s="157"/>
      <c r="E1711" s="157"/>
      <c r="F1711" s="157"/>
    </row>
    <row r="1712" spans="1:6" ht="15.75" x14ac:dyDescent="0.25">
      <c r="A1712" s="157"/>
      <c r="B1712" s="157"/>
      <c r="C1712" s="157"/>
      <c r="D1712" s="157"/>
      <c r="E1712" s="157"/>
      <c r="F1712" s="157"/>
    </row>
    <row r="1713" spans="1:6" ht="15.75" x14ac:dyDescent="0.25">
      <c r="A1713" s="157"/>
      <c r="B1713" s="157"/>
      <c r="C1713" s="157"/>
      <c r="D1713" s="157"/>
      <c r="E1713" s="157"/>
      <c r="F1713" s="157"/>
    </row>
    <row r="1714" spans="1:6" ht="15.75" x14ac:dyDescent="0.25">
      <c r="A1714" s="157"/>
      <c r="B1714" s="157"/>
      <c r="C1714" s="157"/>
      <c r="D1714" s="157"/>
      <c r="E1714" s="157"/>
      <c r="F1714" s="157"/>
    </row>
    <row r="1715" spans="1:6" ht="15.75" x14ac:dyDescent="0.25">
      <c r="A1715" s="157"/>
      <c r="B1715" s="157"/>
      <c r="C1715" s="157"/>
      <c r="D1715" s="157"/>
      <c r="E1715" s="157"/>
      <c r="F1715" s="157"/>
    </row>
    <row r="1716" spans="1:6" ht="15.75" x14ac:dyDescent="0.25">
      <c r="A1716" s="157"/>
      <c r="B1716" s="157"/>
      <c r="C1716" s="157"/>
      <c r="D1716" s="157"/>
      <c r="E1716" s="157"/>
      <c r="F1716" s="157"/>
    </row>
    <row r="1717" spans="1:6" ht="15.75" x14ac:dyDescent="0.25">
      <c r="A1717" s="157"/>
      <c r="B1717" s="157"/>
      <c r="C1717" s="157"/>
      <c r="D1717" s="157"/>
      <c r="E1717" s="157"/>
      <c r="F1717" s="157"/>
    </row>
    <row r="1718" spans="1:6" ht="15.75" x14ac:dyDescent="0.25">
      <c r="A1718" s="157"/>
      <c r="B1718" s="157"/>
      <c r="C1718" s="157"/>
      <c r="D1718" s="157"/>
      <c r="E1718" s="157"/>
      <c r="F1718" s="157"/>
    </row>
    <row r="1719" spans="1:6" ht="15.75" x14ac:dyDescent="0.25">
      <c r="A1719" s="157"/>
      <c r="B1719" s="157"/>
      <c r="C1719" s="157"/>
      <c r="D1719" s="157"/>
      <c r="E1719" s="157"/>
      <c r="F1719" s="157"/>
    </row>
    <row r="1720" spans="1:6" ht="15.75" x14ac:dyDescent="0.25">
      <c r="A1720" s="157"/>
      <c r="B1720" s="157"/>
      <c r="C1720" s="157"/>
      <c r="D1720" s="157"/>
      <c r="E1720" s="157"/>
      <c r="F1720" s="157"/>
    </row>
    <row r="1721" spans="1:6" ht="15.75" x14ac:dyDescent="0.25">
      <c r="A1721" s="157"/>
      <c r="B1721" s="157"/>
      <c r="C1721" s="157"/>
      <c r="D1721" s="157"/>
      <c r="E1721" s="157"/>
      <c r="F1721" s="157"/>
    </row>
    <row r="1722" spans="1:6" ht="15.75" x14ac:dyDescent="0.25">
      <c r="A1722" s="157"/>
      <c r="B1722" s="157"/>
      <c r="C1722" s="157"/>
      <c r="D1722" s="157"/>
      <c r="E1722" s="157"/>
      <c r="F1722" s="157"/>
    </row>
    <row r="1723" spans="1:6" ht="15.75" x14ac:dyDescent="0.25">
      <c r="A1723" s="157"/>
      <c r="B1723" s="157"/>
      <c r="C1723" s="157"/>
      <c r="D1723" s="157"/>
      <c r="E1723" s="157"/>
      <c r="F1723" s="157"/>
    </row>
    <row r="1724" spans="1:6" ht="15.75" x14ac:dyDescent="0.25">
      <c r="A1724" s="157"/>
      <c r="B1724" s="157"/>
      <c r="C1724" s="157"/>
      <c r="D1724" s="157"/>
      <c r="E1724" s="157"/>
      <c r="F1724" s="157"/>
    </row>
    <row r="1725" spans="1:6" ht="15.75" x14ac:dyDescent="0.25">
      <c r="A1725" s="157"/>
      <c r="B1725" s="157"/>
      <c r="C1725" s="157"/>
      <c r="D1725" s="157"/>
      <c r="E1725" s="157"/>
      <c r="F1725" s="157"/>
    </row>
    <row r="1726" spans="1:6" ht="15.75" x14ac:dyDescent="0.25">
      <c r="A1726" s="157"/>
      <c r="B1726" s="157"/>
      <c r="C1726" s="157"/>
      <c r="D1726" s="157"/>
      <c r="E1726" s="157"/>
      <c r="F1726" s="157"/>
    </row>
    <row r="1727" spans="1:6" ht="15.75" x14ac:dyDescent="0.25">
      <c r="A1727" s="157"/>
      <c r="B1727" s="157"/>
      <c r="C1727" s="157"/>
      <c r="D1727" s="157"/>
      <c r="E1727" s="157"/>
      <c r="F1727" s="157"/>
    </row>
    <row r="1728" spans="1:6" ht="15.75" x14ac:dyDescent="0.25">
      <c r="A1728" s="157"/>
      <c r="B1728" s="157"/>
      <c r="C1728" s="157"/>
      <c r="D1728" s="157"/>
      <c r="E1728" s="157"/>
      <c r="F1728" s="157"/>
    </row>
    <row r="1729" spans="1:6" ht="15.75" x14ac:dyDescent="0.25">
      <c r="A1729" s="157"/>
      <c r="B1729" s="157"/>
      <c r="C1729" s="157"/>
      <c r="D1729" s="157"/>
      <c r="E1729" s="157"/>
      <c r="F1729" s="157"/>
    </row>
    <row r="1730" spans="1:6" ht="15.75" x14ac:dyDescent="0.25">
      <c r="A1730" s="157"/>
      <c r="B1730" s="157"/>
      <c r="C1730" s="157"/>
      <c r="D1730" s="157"/>
      <c r="E1730" s="157"/>
      <c r="F1730" s="157"/>
    </row>
    <row r="1731" spans="1:6" ht="15.75" x14ac:dyDescent="0.25">
      <c r="A1731" s="157"/>
      <c r="B1731" s="157"/>
      <c r="C1731" s="157"/>
      <c r="D1731" s="157"/>
      <c r="E1731" s="157"/>
      <c r="F1731" s="157"/>
    </row>
    <row r="1732" spans="1:6" ht="15.75" x14ac:dyDescent="0.25">
      <c r="A1732" s="157"/>
      <c r="B1732" s="157"/>
      <c r="C1732" s="157"/>
      <c r="D1732" s="157"/>
      <c r="E1732" s="157"/>
      <c r="F1732" s="157"/>
    </row>
    <row r="1733" spans="1:6" ht="15.75" x14ac:dyDescent="0.25">
      <c r="A1733" s="157"/>
      <c r="B1733" s="157"/>
      <c r="C1733" s="157"/>
      <c r="D1733" s="157"/>
      <c r="E1733" s="157"/>
      <c r="F1733" s="157"/>
    </row>
    <row r="1734" spans="1:6" ht="15.75" x14ac:dyDescent="0.25">
      <c r="A1734" s="157"/>
      <c r="B1734" s="157"/>
      <c r="C1734" s="157"/>
      <c r="D1734" s="157"/>
      <c r="E1734" s="157"/>
      <c r="F1734" s="157"/>
    </row>
    <row r="1735" spans="1:6" ht="15.75" x14ac:dyDescent="0.25">
      <c r="A1735" s="157"/>
      <c r="B1735" s="157"/>
      <c r="C1735" s="157"/>
      <c r="D1735" s="157"/>
      <c r="E1735" s="157"/>
      <c r="F1735" s="157"/>
    </row>
    <row r="1736" spans="1:6" ht="15.75" x14ac:dyDescent="0.25">
      <c r="A1736" s="157"/>
      <c r="B1736" s="157"/>
      <c r="C1736" s="157"/>
      <c r="D1736" s="157"/>
      <c r="E1736" s="157"/>
      <c r="F1736" s="157"/>
    </row>
    <row r="1737" spans="1:6" ht="15.75" x14ac:dyDescent="0.25">
      <c r="A1737" s="157"/>
      <c r="B1737" s="157"/>
      <c r="C1737" s="157"/>
      <c r="D1737" s="157"/>
      <c r="E1737" s="157"/>
      <c r="F1737" s="157"/>
    </row>
    <row r="1738" spans="1:6" ht="15.75" x14ac:dyDescent="0.25">
      <c r="A1738" s="157"/>
      <c r="B1738" s="157"/>
      <c r="C1738" s="157"/>
      <c r="D1738" s="157"/>
      <c r="E1738" s="157"/>
      <c r="F1738" s="157"/>
    </row>
    <row r="1739" spans="1:6" ht="15.75" x14ac:dyDescent="0.25">
      <c r="A1739" s="157"/>
      <c r="B1739" s="157"/>
      <c r="C1739" s="157"/>
      <c r="D1739" s="157"/>
      <c r="E1739" s="157"/>
      <c r="F1739" s="157"/>
    </row>
    <row r="1740" spans="1:6" ht="15.75" x14ac:dyDescent="0.25">
      <c r="A1740" s="157"/>
      <c r="B1740" s="157"/>
      <c r="C1740" s="157"/>
      <c r="D1740" s="157"/>
      <c r="E1740" s="157"/>
      <c r="F1740" s="157"/>
    </row>
    <row r="1741" spans="1:6" ht="15.75" x14ac:dyDescent="0.25">
      <c r="A1741" s="157"/>
      <c r="B1741" s="157"/>
      <c r="C1741" s="157"/>
      <c r="D1741" s="157"/>
      <c r="E1741" s="157"/>
      <c r="F1741" s="157"/>
    </row>
    <row r="1742" spans="1:6" ht="15.75" x14ac:dyDescent="0.25">
      <c r="A1742" s="157"/>
      <c r="B1742" s="157"/>
      <c r="C1742" s="157"/>
      <c r="D1742" s="157"/>
      <c r="E1742" s="157"/>
      <c r="F1742" s="157"/>
    </row>
    <row r="1743" spans="1:6" ht="15.75" x14ac:dyDescent="0.25">
      <c r="A1743" s="157"/>
      <c r="B1743" s="157"/>
      <c r="C1743" s="157"/>
      <c r="D1743" s="157"/>
      <c r="E1743" s="157"/>
      <c r="F1743" s="157"/>
    </row>
    <row r="1744" spans="1:6" ht="15.75" x14ac:dyDescent="0.25">
      <c r="A1744" s="157"/>
      <c r="B1744" s="157"/>
      <c r="C1744" s="157"/>
      <c r="D1744" s="157"/>
      <c r="E1744" s="157"/>
      <c r="F1744" s="157"/>
    </row>
    <row r="1745" spans="1:6" ht="15.75" x14ac:dyDescent="0.25">
      <c r="A1745" s="157"/>
      <c r="B1745" s="157"/>
      <c r="C1745" s="157"/>
      <c r="D1745" s="157"/>
      <c r="E1745" s="157"/>
      <c r="F1745" s="157"/>
    </row>
    <row r="1746" spans="1:6" ht="15.75" x14ac:dyDescent="0.25">
      <c r="A1746" s="157"/>
      <c r="B1746" s="157"/>
      <c r="C1746" s="157"/>
      <c r="D1746" s="157"/>
      <c r="E1746" s="157"/>
      <c r="F1746" s="157"/>
    </row>
    <row r="1747" spans="1:6" ht="15.75" x14ac:dyDescent="0.25">
      <c r="A1747" s="157"/>
      <c r="B1747" s="157"/>
      <c r="C1747" s="157"/>
      <c r="D1747" s="157"/>
      <c r="E1747" s="157"/>
      <c r="F1747" s="157"/>
    </row>
    <row r="1748" spans="1:6" ht="15.75" x14ac:dyDescent="0.25">
      <c r="A1748" s="157"/>
      <c r="B1748" s="157"/>
      <c r="C1748" s="157"/>
      <c r="D1748" s="157"/>
      <c r="E1748" s="157"/>
      <c r="F1748" s="157"/>
    </row>
    <row r="1749" spans="1:6" ht="15.75" x14ac:dyDescent="0.25">
      <c r="A1749" s="157"/>
      <c r="B1749" s="157"/>
      <c r="C1749" s="157"/>
      <c r="D1749" s="157"/>
      <c r="E1749" s="157"/>
      <c r="F1749" s="157"/>
    </row>
    <row r="1750" spans="1:6" ht="15.75" x14ac:dyDescent="0.25">
      <c r="A1750" s="157"/>
      <c r="B1750" s="157"/>
      <c r="C1750" s="157"/>
      <c r="D1750" s="157"/>
      <c r="E1750" s="157"/>
      <c r="F1750" s="157"/>
    </row>
    <row r="1751" spans="1:6" ht="15.75" x14ac:dyDescent="0.25">
      <c r="A1751" s="157"/>
      <c r="B1751" s="157"/>
      <c r="C1751" s="157"/>
      <c r="D1751" s="157"/>
      <c r="E1751" s="157"/>
      <c r="F1751" s="157"/>
    </row>
    <row r="1752" spans="1:6" ht="15.75" x14ac:dyDescent="0.25">
      <c r="A1752" s="157"/>
      <c r="B1752" s="157"/>
      <c r="C1752" s="157"/>
      <c r="D1752" s="157"/>
      <c r="E1752" s="157"/>
      <c r="F1752" s="157"/>
    </row>
    <row r="1753" spans="1:6" ht="15.75" x14ac:dyDescent="0.25">
      <c r="A1753" s="157"/>
      <c r="B1753" s="157"/>
      <c r="C1753" s="157"/>
      <c r="D1753" s="157"/>
      <c r="E1753" s="157"/>
      <c r="F1753" s="157"/>
    </row>
    <row r="1754" spans="1:6" ht="15.75" x14ac:dyDescent="0.25">
      <c r="A1754" s="157"/>
      <c r="B1754" s="157"/>
      <c r="C1754" s="157"/>
      <c r="D1754" s="157"/>
      <c r="E1754" s="157"/>
      <c r="F1754" s="157"/>
    </row>
    <row r="1755" spans="1:6" ht="15.75" x14ac:dyDescent="0.25">
      <c r="A1755" s="157"/>
      <c r="B1755" s="157"/>
      <c r="C1755" s="157"/>
      <c r="D1755" s="157"/>
      <c r="E1755" s="157"/>
      <c r="F1755" s="157"/>
    </row>
    <row r="1756" spans="1:6" ht="15.75" x14ac:dyDescent="0.25">
      <c r="A1756" s="157"/>
      <c r="B1756" s="157"/>
      <c r="C1756" s="157"/>
      <c r="D1756" s="157"/>
      <c r="E1756" s="157"/>
      <c r="F1756" s="157"/>
    </row>
    <row r="1757" spans="1:6" ht="15.75" x14ac:dyDescent="0.25">
      <c r="A1757" s="157"/>
      <c r="B1757" s="157"/>
      <c r="C1757" s="157"/>
      <c r="D1757" s="157"/>
      <c r="E1757" s="157"/>
      <c r="F1757" s="157"/>
    </row>
    <row r="1758" spans="1:6" ht="15.75" x14ac:dyDescent="0.25">
      <c r="A1758" s="157"/>
      <c r="B1758" s="157"/>
      <c r="C1758" s="157"/>
      <c r="D1758" s="157"/>
      <c r="E1758" s="157"/>
      <c r="F1758" s="157"/>
    </row>
    <row r="1759" spans="1:6" ht="15.75" x14ac:dyDescent="0.25">
      <c r="A1759" s="157"/>
      <c r="B1759" s="157"/>
      <c r="C1759" s="157"/>
      <c r="D1759" s="157"/>
      <c r="E1759" s="157"/>
      <c r="F1759" s="157"/>
    </row>
    <row r="1760" spans="1:6" ht="15.75" x14ac:dyDescent="0.25">
      <c r="A1760" s="157"/>
      <c r="B1760" s="157"/>
      <c r="C1760" s="157"/>
      <c r="D1760" s="157"/>
      <c r="E1760" s="157"/>
      <c r="F1760" s="157"/>
    </row>
    <row r="1761" spans="1:6" ht="15.75" x14ac:dyDescent="0.25">
      <c r="A1761" s="157"/>
      <c r="B1761" s="157"/>
      <c r="C1761" s="157"/>
      <c r="D1761" s="157"/>
      <c r="E1761" s="157"/>
      <c r="F1761" s="157"/>
    </row>
    <row r="1762" spans="1:6" ht="15.75" x14ac:dyDescent="0.25">
      <c r="A1762" s="157"/>
      <c r="B1762" s="157"/>
      <c r="C1762" s="157"/>
      <c r="D1762" s="157"/>
      <c r="E1762" s="157"/>
      <c r="F1762" s="157"/>
    </row>
    <row r="1763" spans="1:6" ht="15.75" x14ac:dyDescent="0.25">
      <c r="A1763" s="157"/>
      <c r="B1763" s="157"/>
      <c r="C1763" s="157"/>
      <c r="D1763" s="157"/>
      <c r="E1763" s="157"/>
      <c r="F1763" s="157"/>
    </row>
    <row r="1764" spans="1:6" ht="15.75" x14ac:dyDescent="0.25">
      <c r="A1764" s="157"/>
      <c r="B1764" s="157"/>
      <c r="C1764" s="157"/>
      <c r="D1764" s="157"/>
      <c r="E1764" s="157"/>
      <c r="F1764" s="157"/>
    </row>
    <row r="1765" spans="1:6" ht="15.75" x14ac:dyDescent="0.25">
      <c r="A1765" s="157"/>
      <c r="B1765" s="157"/>
      <c r="C1765" s="157"/>
      <c r="D1765" s="157"/>
      <c r="E1765" s="157"/>
      <c r="F1765" s="157"/>
    </row>
    <row r="1766" spans="1:6" ht="15.75" x14ac:dyDescent="0.25">
      <c r="A1766" s="157"/>
      <c r="B1766" s="157"/>
      <c r="C1766" s="157"/>
      <c r="D1766" s="157"/>
      <c r="E1766" s="157"/>
      <c r="F1766" s="157"/>
    </row>
    <row r="1767" spans="1:6" ht="15.75" x14ac:dyDescent="0.25">
      <c r="A1767" s="157"/>
      <c r="B1767" s="157"/>
      <c r="C1767" s="157"/>
      <c r="D1767" s="157"/>
      <c r="E1767" s="157"/>
      <c r="F1767" s="157"/>
    </row>
    <row r="1768" spans="1:6" ht="15.75" x14ac:dyDescent="0.25">
      <c r="A1768" s="157"/>
      <c r="B1768" s="157"/>
      <c r="C1768" s="157"/>
      <c r="D1768" s="157"/>
      <c r="E1768" s="157"/>
      <c r="F1768" s="157"/>
    </row>
    <row r="1769" spans="1:6" ht="15.75" x14ac:dyDescent="0.25">
      <c r="A1769" s="157"/>
      <c r="B1769" s="157"/>
      <c r="C1769" s="157"/>
      <c r="D1769" s="157"/>
      <c r="E1769" s="157"/>
      <c r="F1769" s="157"/>
    </row>
    <row r="1770" spans="1:6" ht="15.75" x14ac:dyDescent="0.25">
      <c r="A1770" s="157"/>
      <c r="B1770" s="157"/>
      <c r="C1770" s="157"/>
      <c r="D1770" s="157"/>
      <c r="E1770" s="157"/>
      <c r="F1770" s="157"/>
    </row>
    <row r="1771" spans="1:6" ht="15.75" x14ac:dyDescent="0.25">
      <c r="A1771" s="157"/>
      <c r="B1771" s="157"/>
      <c r="C1771" s="157"/>
      <c r="D1771" s="157"/>
      <c r="E1771" s="157"/>
      <c r="F1771" s="157"/>
    </row>
    <row r="1772" spans="1:6" ht="15.75" x14ac:dyDescent="0.25">
      <c r="A1772" s="157"/>
      <c r="B1772" s="157"/>
      <c r="C1772" s="157"/>
      <c r="D1772" s="157"/>
      <c r="E1772" s="157"/>
      <c r="F1772" s="157"/>
    </row>
    <row r="1773" spans="1:6" ht="15.75" x14ac:dyDescent="0.25">
      <c r="A1773" s="157"/>
      <c r="B1773" s="157"/>
      <c r="C1773" s="157"/>
      <c r="D1773" s="157"/>
      <c r="E1773" s="157"/>
      <c r="F1773" s="157"/>
    </row>
    <row r="1774" spans="1:6" ht="15.75" x14ac:dyDescent="0.25">
      <c r="A1774" s="157"/>
      <c r="B1774" s="157"/>
      <c r="C1774" s="157"/>
      <c r="D1774" s="157"/>
      <c r="E1774" s="157"/>
      <c r="F1774" s="157"/>
    </row>
    <row r="1775" spans="1:6" ht="15.75" x14ac:dyDescent="0.25">
      <c r="A1775" s="157"/>
      <c r="B1775" s="157"/>
      <c r="C1775" s="157"/>
      <c r="D1775" s="157"/>
      <c r="E1775" s="157"/>
      <c r="F1775" s="157"/>
    </row>
    <row r="1776" spans="1:6" ht="15.75" x14ac:dyDescent="0.25">
      <c r="A1776" s="157"/>
      <c r="B1776" s="157"/>
      <c r="C1776" s="157"/>
      <c r="D1776" s="157"/>
      <c r="E1776" s="157"/>
      <c r="F1776" s="157"/>
    </row>
    <row r="1777" spans="1:6" ht="15.75" x14ac:dyDescent="0.25">
      <c r="A1777" s="157"/>
      <c r="B1777" s="157"/>
      <c r="C1777" s="157"/>
      <c r="D1777" s="157"/>
      <c r="E1777" s="157"/>
      <c r="F1777" s="157"/>
    </row>
    <row r="1778" spans="1:6" ht="15.75" x14ac:dyDescent="0.25">
      <c r="A1778" s="157"/>
      <c r="B1778" s="157"/>
      <c r="C1778" s="157"/>
      <c r="D1778" s="157"/>
      <c r="E1778" s="157"/>
      <c r="F1778" s="157"/>
    </row>
    <row r="1779" spans="1:6" ht="15.75" x14ac:dyDescent="0.25">
      <c r="A1779" s="157"/>
      <c r="B1779" s="157"/>
      <c r="C1779" s="157"/>
      <c r="D1779" s="157"/>
      <c r="E1779" s="157"/>
      <c r="F1779" s="157"/>
    </row>
    <row r="1780" spans="1:6" ht="15.75" x14ac:dyDescent="0.25">
      <c r="A1780" s="157"/>
      <c r="B1780" s="157"/>
      <c r="C1780" s="157"/>
      <c r="D1780" s="157"/>
      <c r="E1780" s="157"/>
      <c r="F1780" s="157"/>
    </row>
    <row r="1781" spans="1:6" ht="15.75" x14ac:dyDescent="0.25">
      <c r="A1781" s="157"/>
      <c r="B1781" s="157"/>
      <c r="C1781" s="157"/>
      <c r="D1781" s="157"/>
      <c r="E1781" s="157"/>
      <c r="F1781" s="157"/>
    </row>
    <row r="1782" spans="1:6" ht="15.75" x14ac:dyDescent="0.25">
      <c r="A1782" s="157"/>
      <c r="B1782" s="157"/>
      <c r="C1782" s="157"/>
      <c r="D1782" s="157"/>
      <c r="E1782" s="157"/>
      <c r="F1782" s="157"/>
    </row>
    <row r="1783" spans="1:6" ht="15.75" x14ac:dyDescent="0.25">
      <c r="A1783" s="157"/>
      <c r="B1783" s="157"/>
      <c r="C1783" s="157"/>
      <c r="D1783" s="157"/>
      <c r="E1783" s="157"/>
      <c r="F1783" s="157"/>
    </row>
    <row r="1784" spans="1:6" ht="15.75" x14ac:dyDescent="0.25">
      <c r="A1784" s="157"/>
      <c r="B1784" s="157"/>
      <c r="C1784" s="157"/>
      <c r="D1784" s="157"/>
      <c r="E1784" s="157"/>
      <c r="F1784" s="157"/>
    </row>
    <row r="1785" spans="1:6" ht="15.75" x14ac:dyDescent="0.25">
      <c r="A1785" s="157"/>
      <c r="B1785" s="157"/>
      <c r="C1785" s="157"/>
      <c r="D1785" s="157"/>
      <c r="E1785" s="157"/>
      <c r="F1785" s="157"/>
    </row>
    <row r="1786" spans="1:6" ht="15.75" x14ac:dyDescent="0.25">
      <c r="A1786" s="157"/>
      <c r="B1786" s="157"/>
      <c r="C1786" s="157"/>
      <c r="D1786" s="157"/>
      <c r="E1786" s="157"/>
      <c r="F1786" s="157"/>
    </row>
    <row r="1787" spans="1:6" ht="15.75" x14ac:dyDescent="0.25">
      <c r="A1787" s="157"/>
      <c r="B1787" s="157"/>
      <c r="C1787" s="157"/>
      <c r="D1787" s="157"/>
      <c r="E1787" s="157"/>
      <c r="F1787" s="157"/>
    </row>
    <row r="1788" spans="1:6" ht="15.75" x14ac:dyDescent="0.25">
      <c r="A1788" s="157"/>
      <c r="B1788" s="157"/>
      <c r="C1788" s="157"/>
      <c r="D1788" s="157"/>
      <c r="E1788" s="157"/>
      <c r="F1788" s="157"/>
    </row>
    <row r="1789" spans="1:6" ht="15.75" x14ac:dyDescent="0.25">
      <c r="A1789" s="157"/>
      <c r="B1789" s="157"/>
      <c r="C1789" s="157"/>
      <c r="D1789" s="157"/>
      <c r="E1789" s="157"/>
      <c r="F1789" s="157"/>
    </row>
    <row r="1790" spans="1:6" ht="15.75" x14ac:dyDescent="0.25">
      <c r="A1790" s="157"/>
      <c r="B1790" s="157"/>
      <c r="C1790" s="157"/>
      <c r="D1790" s="157"/>
      <c r="E1790" s="157"/>
      <c r="F1790" s="157"/>
    </row>
    <row r="1791" spans="1:6" ht="15.75" x14ac:dyDescent="0.25">
      <c r="A1791" s="157"/>
      <c r="B1791" s="157"/>
      <c r="C1791" s="157"/>
      <c r="D1791" s="157"/>
      <c r="E1791" s="157"/>
      <c r="F1791" s="157"/>
    </row>
    <row r="1792" spans="1:6" ht="15.75" x14ac:dyDescent="0.25">
      <c r="A1792" s="157"/>
      <c r="B1792" s="157"/>
      <c r="C1792" s="157"/>
      <c r="D1792" s="157"/>
      <c r="E1792" s="157"/>
      <c r="F1792" s="157"/>
    </row>
    <row r="1793" spans="1:6" ht="15.75" x14ac:dyDescent="0.25">
      <c r="A1793" s="157"/>
      <c r="B1793" s="157"/>
      <c r="C1793" s="157"/>
      <c r="D1793" s="157"/>
      <c r="E1793" s="157"/>
      <c r="F1793" s="157"/>
    </row>
    <row r="1794" spans="1:6" ht="15.75" x14ac:dyDescent="0.25">
      <c r="A1794" s="157"/>
      <c r="B1794" s="157"/>
      <c r="C1794" s="157"/>
      <c r="D1794" s="157"/>
      <c r="E1794" s="157"/>
      <c r="F1794" s="157"/>
    </row>
    <row r="1795" spans="1:6" ht="15.75" x14ac:dyDescent="0.25">
      <c r="A1795" s="157"/>
      <c r="B1795" s="157"/>
      <c r="C1795" s="157"/>
      <c r="D1795" s="157"/>
      <c r="E1795" s="157"/>
      <c r="F1795" s="157"/>
    </row>
    <row r="1796" spans="1:6" ht="15.75" x14ac:dyDescent="0.25">
      <c r="A1796" s="157"/>
      <c r="B1796" s="157"/>
      <c r="C1796" s="157"/>
      <c r="D1796" s="157"/>
      <c r="E1796" s="157"/>
      <c r="F1796" s="157"/>
    </row>
    <row r="1797" spans="1:6" ht="15.75" x14ac:dyDescent="0.25">
      <c r="A1797" s="157"/>
      <c r="B1797" s="157"/>
      <c r="C1797" s="157"/>
      <c r="D1797" s="157"/>
      <c r="E1797" s="157"/>
      <c r="F1797" s="157"/>
    </row>
    <row r="1798" spans="1:6" ht="15.75" x14ac:dyDescent="0.25">
      <c r="A1798" s="157"/>
      <c r="B1798" s="157"/>
      <c r="C1798" s="157"/>
      <c r="D1798" s="157"/>
      <c r="E1798" s="157"/>
      <c r="F1798" s="157"/>
    </row>
    <row r="1799" spans="1:6" ht="15.75" x14ac:dyDescent="0.25">
      <c r="A1799" s="157"/>
      <c r="B1799" s="157"/>
      <c r="C1799" s="157"/>
      <c r="D1799" s="157"/>
      <c r="E1799" s="157"/>
      <c r="F1799" s="157"/>
    </row>
    <row r="1800" spans="1:6" ht="15.75" x14ac:dyDescent="0.25">
      <c r="A1800" s="157"/>
      <c r="B1800" s="157"/>
      <c r="C1800" s="157"/>
      <c r="D1800" s="157"/>
      <c r="E1800" s="157"/>
      <c r="F1800" s="157"/>
    </row>
    <row r="1801" spans="1:6" ht="15.75" x14ac:dyDescent="0.25">
      <c r="A1801" s="157"/>
      <c r="B1801" s="157"/>
      <c r="C1801" s="157"/>
      <c r="D1801" s="157"/>
      <c r="E1801" s="157"/>
      <c r="F1801" s="157"/>
    </row>
    <row r="1802" spans="1:6" ht="15.75" x14ac:dyDescent="0.25">
      <c r="A1802" s="157"/>
      <c r="B1802" s="157"/>
      <c r="C1802" s="157"/>
      <c r="D1802" s="157"/>
      <c r="E1802" s="157"/>
      <c r="F1802" s="157"/>
    </row>
    <row r="1803" spans="1:6" ht="15.75" x14ac:dyDescent="0.25">
      <c r="A1803" s="157"/>
      <c r="B1803" s="157"/>
      <c r="C1803" s="157"/>
      <c r="D1803" s="157"/>
      <c r="E1803" s="157"/>
      <c r="F1803" s="157"/>
    </row>
    <row r="1804" spans="1:6" ht="15.75" x14ac:dyDescent="0.25">
      <c r="A1804" s="157"/>
      <c r="B1804" s="157"/>
      <c r="C1804" s="157"/>
      <c r="D1804" s="157"/>
      <c r="E1804" s="157"/>
      <c r="F1804" s="157"/>
    </row>
    <row r="1805" spans="1:6" ht="15.75" x14ac:dyDescent="0.25">
      <c r="A1805" s="157"/>
      <c r="B1805" s="157"/>
      <c r="C1805" s="157"/>
      <c r="D1805" s="157"/>
      <c r="E1805" s="157"/>
      <c r="F1805" s="157"/>
    </row>
    <row r="1806" spans="1:6" ht="15.75" x14ac:dyDescent="0.25">
      <c r="A1806" s="157"/>
      <c r="B1806" s="157"/>
      <c r="C1806" s="157"/>
      <c r="D1806" s="157"/>
      <c r="E1806" s="157"/>
      <c r="F1806" s="157"/>
    </row>
    <row r="1807" spans="1:6" ht="15.75" x14ac:dyDescent="0.25">
      <c r="A1807" s="157"/>
      <c r="B1807" s="157"/>
      <c r="C1807" s="157"/>
      <c r="D1807" s="157"/>
      <c r="E1807" s="157"/>
      <c r="F1807" s="157"/>
    </row>
    <row r="1808" spans="1:6" ht="15.75" x14ac:dyDescent="0.25">
      <c r="A1808" s="157"/>
      <c r="B1808" s="157"/>
      <c r="C1808" s="157"/>
      <c r="D1808" s="157"/>
      <c r="E1808" s="157"/>
      <c r="F1808" s="157"/>
    </row>
    <row r="1809" spans="1:6" ht="15.75" x14ac:dyDescent="0.25">
      <c r="A1809" s="157"/>
      <c r="B1809" s="157"/>
      <c r="C1809" s="157"/>
      <c r="D1809" s="157"/>
      <c r="E1809" s="157"/>
      <c r="F1809" s="157"/>
    </row>
    <row r="1810" spans="1:6" ht="15.75" x14ac:dyDescent="0.25">
      <c r="A1810" s="157"/>
      <c r="B1810" s="157"/>
      <c r="C1810" s="157"/>
      <c r="D1810" s="157"/>
      <c r="E1810" s="157"/>
      <c r="F1810" s="157"/>
    </row>
    <row r="1811" spans="1:6" ht="15.75" x14ac:dyDescent="0.25">
      <c r="A1811" s="157"/>
      <c r="B1811" s="157"/>
      <c r="C1811" s="157"/>
      <c r="D1811" s="157"/>
      <c r="E1811" s="157"/>
      <c r="F1811" s="157"/>
    </row>
    <row r="1812" spans="1:6" ht="15.75" x14ac:dyDescent="0.25">
      <c r="A1812" s="157"/>
      <c r="B1812" s="157"/>
      <c r="C1812" s="157"/>
      <c r="D1812" s="157"/>
      <c r="E1812" s="157"/>
      <c r="F1812" s="157"/>
    </row>
    <row r="1813" spans="1:6" ht="15.75" x14ac:dyDescent="0.25">
      <c r="A1813" s="157"/>
      <c r="B1813" s="157"/>
      <c r="C1813" s="157"/>
      <c r="D1813" s="157"/>
      <c r="E1813" s="157"/>
      <c r="F1813" s="157"/>
    </row>
    <row r="1814" spans="1:6" ht="15.75" x14ac:dyDescent="0.25">
      <c r="A1814" s="157"/>
      <c r="B1814" s="157"/>
      <c r="C1814" s="157"/>
      <c r="D1814" s="157"/>
      <c r="E1814" s="157"/>
      <c r="F1814" s="157"/>
    </row>
    <row r="1815" spans="1:6" ht="15.75" x14ac:dyDescent="0.25">
      <c r="A1815" s="157"/>
      <c r="B1815" s="157"/>
      <c r="C1815" s="157"/>
      <c r="D1815" s="157"/>
      <c r="E1815" s="157"/>
      <c r="F1815" s="157"/>
    </row>
    <row r="1816" spans="1:6" ht="15.75" x14ac:dyDescent="0.25">
      <c r="A1816" s="157"/>
      <c r="B1816" s="157"/>
      <c r="C1816" s="157"/>
      <c r="D1816" s="157"/>
      <c r="E1816" s="157"/>
      <c r="F1816" s="157"/>
    </row>
    <row r="1817" spans="1:6" ht="15.75" x14ac:dyDescent="0.25">
      <c r="A1817" s="157"/>
      <c r="B1817" s="157"/>
      <c r="C1817" s="157"/>
      <c r="D1817" s="157"/>
      <c r="E1817" s="157"/>
      <c r="F1817" s="157"/>
    </row>
    <row r="1818" spans="1:6" ht="15.75" x14ac:dyDescent="0.25">
      <c r="A1818" s="157"/>
      <c r="B1818" s="157"/>
      <c r="C1818" s="157"/>
      <c r="D1818" s="157"/>
      <c r="E1818" s="157"/>
      <c r="F1818" s="157"/>
    </row>
    <row r="1819" spans="1:6" ht="15.75" x14ac:dyDescent="0.25">
      <c r="A1819" s="157"/>
      <c r="B1819" s="157"/>
      <c r="C1819" s="157"/>
      <c r="D1819" s="157"/>
      <c r="E1819" s="157"/>
      <c r="F1819" s="157"/>
    </row>
    <row r="1820" spans="1:6" ht="15.75" x14ac:dyDescent="0.25">
      <c r="A1820" s="157"/>
      <c r="B1820" s="157"/>
      <c r="C1820" s="157"/>
      <c r="D1820" s="157"/>
      <c r="E1820" s="157"/>
      <c r="F1820" s="157"/>
    </row>
    <row r="1821" spans="1:6" ht="15.75" x14ac:dyDescent="0.25">
      <c r="A1821" s="157"/>
      <c r="B1821" s="157"/>
      <c r="C1821" s="157"/>
      <c r="D1821" s="157"/>
      <c r="E1821" s="157"/>
      <c r="F1821" s="157"/>
    </row>
    <row r="1822" spans="1:6" ht="15.75" x14ac:dyDescent="0.25">
      <c r="A1822" s="157"/>
      <c r="B1822" s="157"/>
      <c r="C1822" s="157"/>
      <c r="D1822" s="157"/>
      <c r="E1822" s="157"/>
      <c r="F1822" s="157"/>
    </row>
    <row r="1823" spans="1:6" ht="15.75" x14ac:dyDescent="0.25">
      <c r="A1823" s="157"/>
      <c r="B1823" s="157"/>
      <c r="C1823" s="157"/>
      <c r="D1823" s="157"/>
      <c r="E1823" s="157"/>
      <c r="F1823" s="157"/>
    </row>
    <row r="1824" spans="1:6" ht="15.75" x14ac:dyDescent="0.25">
      <c r="A1824" s="157"/>
      <c r="B1824" s="157"/>
      <c r="C1824" s="157"/>
      <c r="D1824" s="157"/>
      <c r="E1824" s="157"/>
      <c r="F1824" s="157"/>
    </row>
    <row r="1825" spans="1:6" ht="15.75" x14ac:dyDescent="0.25">
      <c r="A1825" s="157"/>
      <c r="B1825" s="157"/>
      <c r="C1825" s="157"/>
      <c r="D1825" s="157"/>
      <c r="E1825" s="157"/>
      <c r="F1825" s="157"/>
    </row>
    <row r="1826" spans="1:6" ht="15.75" x14ac:dyDescent="0.25">
      <c r="A1826" s="157"/>
      <c r="B1826" s="157"/>
      <c r="C1826" s="157"/>
      <c r="D1826" s="157"/>
      <c r="E1826" s="157"/>
      <c r="F1826" s="157"/>
    </row>
    <row r="1827" spans="1:6" ht="15.75" x14ac:dyDescent="0.25">
      <c r="A1827" s="157"/>
      <c r="B1827" s="157"/>
      <c r="C1827" s="157"/>
      <c r="D1827" s="157"/>
      <c r="E1827" s="157"/>
      <c r="F1827" s="157"/>
    </row>
    <row r="1828" spans="1:6" ht="15.75" x14ac:dyDescent="0.25">
      <c r="A1828" s="157"/>
      <c r="B1828" s="157"/>
      <c r="C1828" s="157"/>
      <c r="D1828" s="157"/>
      <c r="E1828" s="157"/>
      <c r="F1828" s="157"/>
    </row>
    <row r="1829" spans="1:6" ht="15.75" x14ac:dyDescent="0.25">
      <c r="A1829" s="157"/>
      <c r="B1829" s="157"/>
      <c r="C1829" s="157"/>
      <c r="D1829" s="157"/>
      <c r="E1829" s="157"/>
      <c r="F1829" s="157"/>
    </row>
    <row r="1830" spans="1:6" ht="15.75" x14ac:dyDescent="0.25">
      <c r="A1830" s="157"/>
      <c r="B1830" s="157"/>
      <c r="C1830" s="157"/>
      <c r="D1830" s="157"/>
      <c r="E1830" s="157"/>
      <c r="F1830" s="157"/>
    </row>
    <row r="1831" spans="1:6" ht="15.75" x14ac:dyDescent="0.25">
      <c r="A1831" s="157"/>
      <c r="B1831" s="157"/>
      <c r="C1831" s="157"/>
      <c r="D1831" s="157"/>
      <c r="E1831" s="157"/>
      <c r="F1831" s="157"/>
    </row>
    <row r="1832" spans="1:6" ht="15.75" x14ac:dyDescent="0.25">
      <c r="A1832" s="157"/>
      <c r="B1832" s="157"/>
      <c r="C1832" s="157"/>
      <c r="D1832" s="157"/>
      <c r="E1832" s="157"/>
      <c r="F1832" s="157"/>
    </row>
    <row r="1833" spans="1:6" ht="15.75" x14ac:dyDescent="0.25">
      <c r="A1833" s="157"/>
      <c r="B1833" s="157"/>
      <c r="C1833" s="157"/>
      <c r="D1833" s="157"/>
      <c r="E1833" s="157"/>
      <c r="F1833" s="157"/>
    </row>
    <row r="1834" spans="1:6" ht="15.75" x14ac:dyDescent="0.25">
      <c r="A1834" s="157"/>
      <c r="B1834" s="157"/>
      <c r="C1834" s="157"/>
      <c r="D1834" s="157"/>
      <c r="E1834" s="157"/>
      <c r="F1834" s="157"/>
    </row>
    <row r="1835" spans="1:6" ht="15.75" x14ac:dyDescent="0.25">
      <c r="A1835" s="157"/>
      <c r="B1835" s="157"/>
      <c r="C1835" s="157"/>
      <c r="D1835" s="157"/>
      <c r="E1835" s="157"/>
      <c r="F1835" s="157"/>
    </row>
    <row r="1836" spans="1:6" ht="15.75" x14ac:dyDescent="0.25">
      <c r="A1836" s="157"/>
      <c r="B1836" s="157"/>
      <c r="C1836" s="157"/>
      <c r="D1836" s="157"/>
      <c r="E1836" s="157"/>
      <c r="F1836" s="157"/>
    </row>
    <row r="1837" spans="1:6" ht="15.75" x14ac:dyDescent="0.25">
      <c r="A1837" s="157"/>
      <c r="B1837" s="157"/>
      <c r="C1837" s="157"/>
      <c r="D1837" s="157"/>
      <c r="E1837" s="157"/>
      <c r="F1837" s="157"/>
    </row>
    <row r="1838" spans="1:6" ht="15.75" x14ac:dyDescent="0.25">
      <c r="A1838" s="157"/>
      <c r="B1838" s="157"/>
      <c r="C1838" s="157"/>
      <c r="D1838" s="157"/>
      <c r="E1838" s="157"/>
      <c r="F1838" s="157"/>
    </row>
    <row r="1839" spans="1:6" ht="15.75" x14ac:dyDescent="0.25">
      <c r="A1839" s="157"/>
      <c r="B1839" s="157"/>
      <c r="C1839" s="157"/>
      <c r="D1839" s="157"/>
      <c r="E1839" s="157"/>
      <c r="F1839" s="157"/>
    </row>
    <row r="1840" spans="1:6" ht="15.75" x14ac:dyDescent="0.25">
      <c r="A1840" s="157"/>
      <c r="B1840" s="157"/>
      <c r="C1840" s="157"/>
      <c r="D1840" s="157"/>
      <c r="E1840" s="157"/>
      <c r="F1840" s="157"/>
    </row>
    <row r="1841" spans="1:6" ht="15.75" x14ac:dyDescent="0.25">
      <c r="A1841" s="157"/>
      <c r="B1841" s="157"/>
      <c r="C1841" s="157"/>
      <c r="D1841" s="157"/>
      <c r="E1841" s="157"/>
      <c r="F1841" s="157"/>
    </row>
    <row r="1842" spans="1:6" ht="15.75" x14ac:dyDescent="0.25">
      <c r="A1842" s="157"/>
      <c r="B1842" s="157"/>
      <c r="C1842" s="157"/>
      <c r="D1842" s="157"/>
      <c r="E1842" s="157"/>
      <c r="F1842" s="157"/>
    </row>
    <row r="1843" spans="1:6" ht="15.75" x14ac:dyDescent="0.25">
      <c r="A1843" s="157"/>
      <c r="B1843" s="157"/>
      <c r="C1843" s="157"/>
      <c r="D1843" s="157"/>
      <c r="E1843" s="157"/>
      <c r="F1843" s="157"/>
    </row>
    <row r="1844" spans="1:6" ht="15.75" x14ac:dyDescent="0.25">
      <c r="A1844" s="157"/>
      <c r="B1844" s="157"/>
      <c r="C1844" s="157"/>
      <c r="D1844" s="157"/>
      <c r="E1844" s="157"/>
      <c r="F1844" s="157"/>
    </row>
    <row r="1845" spans="1:6" ht="15.75" x14ac:dyDescent="0.25">
      <c r="A1845" s="157"/>
      <c r="B1845" s="157"/>
      <c r="C1845" s="157"/>
      <c r="D1845" s="157"/>
      <c r="E1845" s="157"/>
      <c r="F1845" s="157"/>
    </row>
    <row r="1846" spans="1:6" ht="15.75" x14ac:dyDescent="0.25">
      <c r="A1846" s="157"/>
      <c r="B1846" s="157"/>
      <c r="C1846" s="157"/>
      <c r="D1846" s="157"/>
      <c r="E1846" s="157"/>
      <c r="F1846" s="157"/>
    </row>
    <row r="1847" spans="1:6" ht="15.75" x14ac:dyDescent="0.25">
      <c r="A1847" s="157"/>
      <c r="B1847" s="157"/>
      <c r="C1847" s="157"/>
      <c r="D1847" s="157"/>
      <c r="E1847" s="157"/>
      <c r="F1847" s="157"/>
    </row>
    <row r="1848" spans="1:6" ht="15.75" x14ac:dyDescent="0.25">
      <c r="A1848" s="157"/>
      <c r="B1848" s="157"/>
      <c r="C1848" s="157"/>
      <c r="D1848" s="157"/>
      <c r="E1848" s="157"/>
      <c r="F1848" s="157"/>
    </row>
    <row r="1849" spans="1:6" ht="15.75" x14ac:dyDescent="0.25">
      <c r="A1849" s="157"/>
      <c r="B1849" s="157"/>
      <c r="C1849" s="157"/>
      <c r="D1849" s="157"/>
      <c r="E1849" s="157"/>
      <c r="F1849" s="157"/>
    </row>
    <row r="1850" spans="1:6" ht="15.75" x14ac:dyDescent="0.25">
      <c r="A1850" s="157"/>
      <c r="B1850" s="157"/>
      <c r="C1850" s="157"/>
      <c r="D1850" s="157"/>
      <c r="E1850" s="157"/>
      <c r="F1850" s="157"/>
    </row>
    <row r="1851" spans="1:6" ht="15.75" x14ac:dyDescent="0.25">
      <c r="A1851" s="157"/>
      <c r="B1851" s="157"/>
      <c r="C1851" s="157"/>
      <c r="D1851" s="157"/>
      <c r="E1851" s="157"/>
      <c r="F1851" s="157"/>
    </row>
    <row r="1852" spans="1:6" ht="15.75" x14ac:dyDescent="0.25">
      <c r="A1852" s="157"/>
      <c r="B1852" s="157"/>
      <c r="C1852" s="157"/>
      <c r="D1852" s="157"/>
      <c r="E1852" s="157"/>
      <c r="F1852" s="157"/>
    </row>
    <row r="1853" spans="1:6" ht="15.75" x14ac:dyDescent="0.25">
      <c r="A1853" s="157"/>
      <c r="B1853" s="157"/>
      <c r="C1853" s="157"/>
      <c r="D1853" s="157"/>
      <c r="E1853" s="157"/>
      <c r="F1853" s="157"/>
    </row>
    <row r="1854" spans="1:6" ht="15.75" x14ac:dyDescent="0.25">
      <c r="A1854" s="157"/>
      <c r="B1854" s="157"/>
      <c r="C1854" s="157"/>
      <c r="D1854" s="157"/>
      <c r="E1854" s="157"/>
      <c r="F1854" s="157"/>
    </row>
    <row r="1855" spans="1:6" ht="15.75" x14ac:dyDescent="0.25">
      <c r="A1855" s="157"/>
      <c r="B1855" s="157"/>
      <c r="C1855" s="157"/>
      <c r="D1855" s="157"/>
      <c r="E1855" s="157"/>
      <c r="F1855" s="157"/>
    </row>
    <row r="1856" spans="1:6" ht="15.75" x14ac:dyDescent="0.25">
      <c r="A1856" s="157"/>
      <c r="B1856" s="157"/>
      <c r="C1856" s="157"/>
      <c r="D1856" s="157"/>
      <c r="E1856" s="157"/>
      <c r="F1856" s="157"/>
    </row>
    <row r="1857" spans="1:6" ht="15.75" x14ac:dyDescent="0.25">
      <c r="A1857" s="157"/>
      <c r="B1857" s="157"/>
      <c r="C1857" s="157"/>
      <c r="D1857" s="157"/>
      <c r="E1857" s="157"/>
      <c r="F1857" s="157"/>
    </row>
    <row r="1858" spans="1:6" ht="15.75" x14ac:dyDescent="0.25">
      <c r="A1858" s="157"/>
      <c r="B1858" s="157"/>
      <c r="C1858" s="157"/>
      <c r="D1858" s="157"/>
      <c r="E1858" s="157"/>
      <c r="F1858" s="157"/>
    </row>
    <row r="1859" spans="1:6" ht="15.75" x14ac:dyDescent="0.25">
      <c r="A1859" s="157"/>
      <c r="B1859" s="157"/>
      <c r="C1859" s="157"/>
      <c r="D1859" s="157"/>
      <c r="E1859" s="157"/>
      <c r="F1859" s="157"/>
    </row>
    <row r="1860" spans="1:6" ht="15.75" x14ac:dyDescent="0.25">
      <c r="A1860" s="157"/>
      <c r="B1860" s="157"/>
      <c r="C1860" s="157"/>
      <c r="D1860" s="157"/>
      <c r="E1860" s="157"/>
      <c r="F1860" s="157"/>
    </row>
    <row r="1861" spans="1:6" ht="15.75" x14ac:dyDescent="0.25">
      <c r="A1861" s="157"/>
      <c r="B1861" s="157"/>
      <c r="C1861" s="157"/>
      <c r="D1861" s="157"/>
      <c r="E1861" s="157"/>
      <c r="F1861" s="157"/>
    </row>
    <row r="1862" spans="1:6" ht="15.75" x14ac:dyDescent="0.25">
      <c r="A1862" s="157"/>
      <c r="B1862" s="157"/>
      <c r="C1862" s="157"/>
      <c r="D1862" s="157"/>
      <c r="E1862" s="157"/>
      <c r="F1862" s="157"/>
    </row>
    <row r="1863" spans="1:6" ht="15.75" x14ac:dyDescent="0.25">
      <c r="A1863" s="157"/>
      <c r="B1863" s="157"/>
      <c r="C1863" s="157"/>
      <c r="D1863" s="157"/>
      <c r="E1863" s="157"/>
      <c r="F1863" s="157"/>
    </row>
    <row r="1864" spans="1:6" ht="15.75" x14ac:dyDescent="0.25">
      <c r="A1864" s="157"/>
      <c r="B1864" s="157"/>
      <c r="C1864" s="157"/>
      <c r="D1864" s="157"/>
      <c r="E1864" s="157"/>
      <c r="F1864" s="157"/>
    </row>
    <row r="1865" spans="1:6" ht="15.75" x14ac:dyDescent="0.25">
      <c r="A1865" s="157"/>
      <c r="B1865" s="157"/>
      <c r="C1865" s="157"/>
      <c r="D1865" s="157"/>
      <c r="E1865" s="157"/>
      <c r="F1865" s="157"/>
    </row>
    <row r="1866" spans="1:6" ht="15.75" x14ac:dyDescent="0.25">
      <c r="A1866" s="157"/>
      <c r="B1866" s="157"/>
      <c r="C1866" s="157"/>
      <c r="D1866" s="157"/>
      <c r="E1866" s="157"/>
      <c r="F1866" s="157"/>
    </row>
    <row r="1867" spans="1:6" ht="15.75" x14ac:dyDescent="0.25">
      <c r="A1867" s="157"/>
      <c r="B1867" s="157"/>
      <c r="C1867" s="157"/>
      <c r="D1867" s="157"/>
      <c r="E1867" s="157"/>
      <c r="F1867" s="157"/>
    </row>
    <row r="1868" spans="1:6" ht="15.75" x14ac:dyDescent="0.25">
      <c r="A1868" s="157"/>
      <c r="B1868" s="157"/>
      <c r="C1868" s="157"/>
      <c r="D1868" s="157"/>
      <c r="E1868" s="157"/>
      <c r="F1868" s="157"/>
    </row>
    <row r="1869" spans="1:6" ht="15.75" x14ac:dyDescent="0.25">
      <c r="A1869" s="157"/>
      <c r="B1869" s="157"/>
      <c r="C1869" s="157"/>
      <c r="D1869" s="157"/>
      <c r="E1869" s="157"/>
      <c r="F1869" s="157"/>
    </row>
    <row r="1870" spans="1:6" ht="15.75" x14ac:dyDescent="0.25">
      <c r="A1870" s="157"/>
      <c r="B1870" s="157"/>
      <c r="C1870" s="157"/>
      <c r="D1870" s="157"/>
      <c r="E1870" s="157"/>
      <c r="F1870" s="157"/>
    </row>
    <row r="1871" spans="1:6" ht="15.75" x14ac:dyDescent="0.25">
      <c r="A1871" s="157"/>
      <c r="B1871" s="157"/>
      <c r="C1871" s="157"/>
      <c r="D1871" s="157"/>
      <c r="E1871" s="157"/>
      <c r="F1871" s="157"/>
    </row>
    <row r="1872" spans="1:6" ht="15.75" x14ac:dyDescent="0.25">
      <c r="A1872" s="157"/>
      <c r="B1872" s="157"/>
      <c r="C1872" s="157"/>
      <c r="D1872" s="157"/>
      <c r="E1872" s="157"/>
      <c r="F1872" s="157"/>
    </row>
    <row r="1873" spans="1:6" ht="15.75" x14ac:dyDescent="0.25">
      <c r="A1873" s="157"/>
      <c r="B1873" s="157"/>
      <c r="C1873" s="157"/>
      <c r="D1873" s="157"/>
      <c r="E1873" s="157"/>
      <c r="F1873" s="157"/>
    </row>
    <row r="1874" spans="1:6" ht="15.75" x14ac:dyDescent="0.25">
      <c r="A1874" s="157"/>
      <c r="B1874" s="157"/>
      <c r="C1874" s="157"/>
      <c r="D1874" s="157"/>
      <c r="E1874" s="157"/>
      <c r="F1874" s="157"/>
    </row>
    <row r="1875" spans="1:6" ht="15.75" x14ac:dyDescent="0.25">
      <c r="A1875" s="157"/>
      <c r="B1875" s="157"/>
      <c r="C1875" s="157"/>
      <c r="D1875" s="157"/>
      <c r="E1875" s="157"/>
      <c r="F1875" s="157"/>
    </row>
    <row r="1876" spans="1:6" ht="15.75" x14ac:dyDescent="0.25">
      <c r="A1876" s="157"/>
      <c r="B1876" s="157"/>
      <c r="C1876" s="157"/>
      <c r="D1876" s="157"/>
      <c r="E1876" s="157"/>
      <c r="F1876" s="157"/>
    </row>
    <row r="1877" spans="1:6" ht="15.75" x14ac:dyDescent="0.25">
      <c r="A1877" s="157"/>
      <c r="B1877" s="157"/>
      <c r="C1877" s="157"/>
      <c r="D1877" s="157"/>
      <c r="E1877" s="157"/>
      <c r="F1877" s="157"/>
    </row>
    <row r="1878" spans="1:6" ht="15.75" x14ac:dyDescent="0.25">
      <c r="A1878" s="157"/>
      <c r="B1878" s="157"/>
      <c r="C1878" s="157"/>
      <c r="D1878" s="157"/>
      <c r="E1878" s="157"/>
      <c r="F1878" s="157"/>
    </row>
    <row r="1879" spans="1:6" ht="15.75" x14ac:dyDescent="0.25">
      <c r="A1879" s="157"/>
      <c r="B1879" s="157"/>
      <c r="C1879" s="157"/>
      <c r="D1879" s="157"/>
      <c r="E1879" s="157"/>
      <c r="F1879" s="157"/>
    </row>
    <row r="1880" spans="1:6" ht="15.75" x14ac:dyDescent="0.25">
      <c r="A1880" s="157"/>
      <c r="B1880" s="157"/>
      <c r="C1880" s="157"/>
      <c r="D1880" s="157"/>
      <c r="E1880" s="157"/>
      <c r="F1880" s="157"/>
    </row>
    <row r="1881" spans="1:6" ht="15.75" x14ac:dyDescent="0.25">
      <c r="A1881" s="157"/>
      <c r="B1881" s="157"/>
      <c r="C1881" s="157"/>
      <c r="D1881" s="157"/>
      <c r="E1881" s="157"/>
      <c r="F1881" s="157"/>
    </row>
    <row r="1882" spans="1:6" ht="15.75" x14ac:dyDescent="0.25">
      <c r="A1882" s="157"/>
      <c r="B1882" s="157"/>
      <c r="C1882" s="157"/>
      <c r="D1882" s="157"/>
      <c r="E1882" s="157"/>
      <c r="F1882" s="157"/>
    </row>
    <row r="1883" spans="1:6" ht="15.75" x14ac:dyDescent="0.25">
      <c r="A1883" s="157"/>
      <c r="B1883" s="157"/>
      <c r="C1883" s="157"/>
      <c r="D1883" s="157"/>
      <c r="E1883" s="157"/>
      <c r="F1883" s="157"/>
    </row>
    <row r="1884" spans="1:6" ht="15.75" x14ac:dyDescent="0.25">
      <c r="A1884" s="157"/>
      <c r="B1884" s="157"/>
      <c r="C1884" s="157"/>
      <c r="D1884" s="157"/>
      <c r="E1884" s="157"/>
      <c r="F1884" s="157"/>
    </row>
    <row r="1885" spans="1:6" ht="15.75" x14ac:dyDescent="0.25">
      <c r="A1885" s="157"/>
      <c r="B1885" s="157"/>
      <c r="C1885" s="157"/>
      <c r="D1885" s="157"/>
      <c r="E1885" s="157"/>
      <c r="F1885" s="157"/>
    </row>
    <row r="1886" spans="1:6" ht="15.75" x14ac:dyDescent="0.25">
      <c r="A1886" s="157"/>
      <c r="B1886" s="157"/>
      <c r="C1886" s="157"/>
      <c r="D1886" s="157"/>
      <c r="E1886" s="157"/>
      <c r="F1886" s="157"/>
    </row>
    <row r="1887" spans="1:6" ht="15.75" x14ac:dyDescent="0.25">
      <c r="A1887" s="157"/>
      <c r="B1887" s="157"/>
      <c r="C1887" s="157"/>
      <c r="D1887" s="157"/>
      <c r="E1887" s="157"/>
      <c r="F1887" s="157"/>
    </row>
    <row r="1888" spans="1:6" ht="15.75" x14ac:dyDescent="0.25">
      <c r="A1888" s="157"/>
      <c r="B1888" s="157"/>
      <c r="C1888" s="157"/>
      <c r="D1888" s="157"/>
      <c r="E1888" s="157"/>
      <c r="F1888" s="157"/>
    </row>
    <row r="1889" spans="1:6" ht="15.75" x14ac:dyDescent="0.25">
      <c r="A1889" s="157"/>
      <c r="B1889" s="157"/>
      <c r="C1889" s="157"/>
      <c r="D1889" s="157"/>
      <c r="E1889" s="157"/>
      <c r="F1889" s="157"/>
    </row>
    <row r="1890" spans="1:6" ht="15.75" x14ac:dyDescent="0.25">
      <c r="A1890" s="157"/>
      <c r="B1890" s="157"/>
      <c r="C1890" s="157"/>
      <c r="D1890" s="157"/>
      <c r="E1890" s="157"/>
      <c r="F1890" s="157"/>
    </row>
    <row r="1891" spans="1:6" ht="15.75" x14ac:dyDescent="0.25">
      <c r="A1891" s="157"/>
      <c r="B1891" s="157"/>
      <c r="C1891" s="157"/>
      <c r="D1891" s="157"/>
      <c r="E1891" s="157"/>
      <c r="F1891" s="157"/>
    </row>
    <row r="1892" spans="1:6" ht="15.75" x14ac:dyDescent="0.25">
      <c r="A1892" s="157"/>
      <c r="B1892" s="157"/>
      <c r="C1892" s="157"/>
      <c r="D1892" s="157"/>
      <c r="E1892" s="157"/>
      <c r="F1892" s="157"/>
    </row>
    <row r="1893" spans="1:6" ht="15.75" x14ac:dyDescent="0.25">
      <c r="A1893" s="157"/>
      <c r="B1893" s="157"/>
      <c r="C1893" s="157"/>
      <c r="D1893" s="157"/>
      <c r="E1893" s="157"/>
      <c r="F1893" s="157"/>
    </row>
    <row r="1894" spans="1:6" ht="15.75" x14ac:dyDescent="0.25">
      <c r="A1894" s="157"/>
      <c r="B1894" s="157"/>
      <c r="C1894" s="157"/>
      <c r="D1894" s="157"/>
      <c r="E1894" s="157"/>
      <c r="F1894" s="157"/>
    </row>
    <row r="1895" spans="1:6" ht="15.75" x14ac:dyDescent="0.25">
      <c r="A1895" s="157"/>
      <c r="B1895" s="157"/>
      <c r="C1895" s="157"/>
      <c r="D1895" s="157"/>
      <c r="E1895" s="157"/>
      <c r="F1895" s="157"/>
    </row>
    <row r="1896" spans="1:6" ht="15.75" x14ac:dyDescent="0.25">
      <c r="A1896" s="157"/>
      <c r="B1896" s="157"/>
      <c r="C1896" s="157"/>
      <c r="D1896" s="157"/>
      <c r="E1896" s="157"/>
      <c r="F1896" s="157"/>
    </row>
    <row r="1897" spans="1:6" ht="15.75" x14ac:dyDescent="0.25">
      <c r="A1897" s="157"/>
      <c r="B1897" s="157"/>
      <c r="C1897" s="157"/>
      <c r="D1897" s="157"/>
      <c r="E1897" s="157"/>
      <c r="F1897" s="157"/>
    </row>
    <row r="1898" spans="1:6" ht="15.75" x14ac:dyDescent="0.25">
      <c r="A1898" s="157"/>
      <c r="B1898" s="157"/>
      <c r="C1898" s="157"/>
      <c r="D1898" s="157"/>
      <c r="E1898" s="157"/>
      <c r="F1898" s="157"/>
    </row>
    <row r="1899" spans="1:6" ht="15.75" x14ac:dyDescent="0.25">
      <c r="A1899" s="157"/>
      <c r="B1899" s="157"/>
      <c r="C1899" s="157"/>
      <c r="D1899" s="157"/>
      <c r="E1899" s="157"/>
      <c r="F1899" s="157"/>
    </row>
    <row r="1900" spans="1:6" ht="15.75" x14ac:dyDescent="0.25">
      <c r="A1900" s="157"/>
      <c r="B1900" s="157"/>
      <c r="C1900" s="157"/>
      <c r="D1900" s="157"/>
      <c r="E1900" s="157"/>
      <c r="F1900" s="157"/>
    </row>
    <row r="1901" spans="1:6" ht="15.75" x14ac:dyDescent="0.25">
      <c r="A1901" s="157"/>
      <c r="B1901" s="157"/>
      <c r="C1901" s="157"/>
      <c r="D1901" s="157"/>
      <c r="E1901" s="157"/>
      <c r="F1901" s="157"/>
    </row>
    <row r="1902" spans="1:6" ht="15.75" x14ac:dyDescent="0.25">
      <c r="A1902" s="157"/>
      <c r="B1902" s="157"/>
      <c r="C1902" s="157"/>
      <c r="D1902" s="157"/>
      <c r="E1902" s="157"/>
      <c r="F1902" s="157"/>
    </row>
    <row r="1903" spans="1:6" ht="15.75" x14ac:dyDescent="0.25">
      <c r="A1903" s="157"/>
      <c r="B1903" s="157"/>
      <c r="C1903" s="157"/>
      <c r="D1903" s="157"/>
      <c r="E1903" s="157"/>
      <c r="F1903" s="157"/>
    </row>
    <row r="1904" spans="1:6" ht="15.75" x14ac:dyDescent="0.25">
      <c r="A1904" s="157"/>
      <c r="B1904" s="157"/>
      <c r="C1904" s="157"/>
      <c r="D1904" s="157"/>
      <c r="E1904" s="157"/>
      <c r="F1904" s="157"/>
    </row>
    <row r="1905" spans="1:6" ht="15.75" x14ac:dyDescent="0.25">
      <c r="A1905" s="157"/>
      <c r="B1905" s="157"/>
      <c r="C1905" s="157"/>
      <c r="D1905" s="157"/>
      <c r="E1905" s="157"/>
      <c r="F1905" s="157"/>
    </row>
    <row r="1906" spans="1:6" ht="15.75" x14ac:dyDescent="0.25">
      <c r="A1906" s="157"/>
      <c r="B1906" s="157"/>
      <c r="C1906" s="157"/>
      <c r="D1906" s="157"/>
      <c r="E1906" s="157"/>
      <c r="F1906" s="157"/>
    </row>
    <row r="1907" spans="1:6" ht="15.75" x14ac:dyDescent="0.25">
      <c r="A1907" s="157"/>
      <c r="B1907" s="157"/>
      <c r="C1907" s="157"/>
      <c r="D1907" s="157"/>
      <c r="E1907" s="157"/>
      <c r="F1907" s="157"/>
    </row>
    <row r="1908" spans="1:6" ht="15.75" x14ac:dyDescent="0.25">
      <c r="A1908" s="157"/>
      <c r="B1908" s="157"/>
      <c r="C1908" s="157"/>
      <c r="D1908" s="157"/>
      <c r="E1908" s="157"/>
      <c r="F1908" s="157"/>
    </row>
    <row r="1909" spans="1:6" ht="15.75" x14ac:dyDescent="0.25">
      <c r="A1909" s="157"/>
      <c r="B1909" s="157"/>
      <c r="C1909" s="157"/>
      <c r="D1909" s="157"/>
      <c r="E1909" s="157"/>
      <c r="F1909" s="157"/>
    </row>
    <row r="1910" spans="1:6" ht="15.75" x14ac:dyDescent="0.25">
      <c r="A1910" s="157"/>
      <c r="B1910" s="157"/>
      <c r="C1910" s="157"/>
      <c r="D1910" s="157"/>
      <c r="E1910" s="157"/>
      <c r="F1910" s="157"/>
    </row>
    <row r="1911" spans="1:6" ht="15.75" x14ac:dyDescent="0.25">
      <c r="A1911" s="157"/>
      <c r="B1911" s="157"/>
      <c r="C1911" s="157"/>
      <c r="D1911" s="157"/>
      <c r="E1911" s="157"/>
      <c r="F1911" s="157"/>
    </row>
    <row r="1912" spans="1:6" ht="15.75" x14ac:dyDescent="0.25">
      <c r="A1912" s="157"/>
      <c r="B1912" s="157"/>
      <c r="C1912" s="157"/>
      <c r="D1912" s="157"/>
      <c r="E1912" s="157"/>
      <c r="F1912" s="157"/>
    </row>
    <row r="1913" spans="1:6" ht="15.75" x14ac:dyDescent="0.25">
      <c r="A1913" s="157"/>
      <c r="B1913" s="157"/>
      <c r="C1913" s="157"/>
      <c r="D1913" s="157"/>
      <c r="E1913" s="157"/>
      <c r="F1913" s="157"/>
    </row>
    <row r="1914" spans="1:6" ht="15.75" x14ac:dyDescent="0.25">
      <c r="A1914" s="157"/>
      <c r="B1914" s="157"/>
      <c r="C1914" s="157"/>
      <c r="D1914" s="157"/>
      <c r="E1914" s="157"/>
      <c r="F1914" s="157"/>
    </row>
    <row r="1915" spans="1:6" ht="15.75" x14ac:dyDescent="0.25">
      <c r="A1915" s="157"/>
      <c r="B1915" s="157"/>
      <c r="C1915" s="157"/>
      <c r="D1915" s="157"/>
      <c r="E1915" s="157"/>
      <c r="F1915" s="157"/>
    </row>
    <row r="1916" spans="1:6" ht="15.75" x14ac:dyDescent="0.25">
      <c r="A1916" s="157"/>
      <c r="B1916" s="157"/>
      <c r="C1916" s="157"/>
      <c r="D1916" s="157"/>
      <c r="E1916" s="157"/>
      <c r="F1916" s="157"/>
    </row>
    <row r="1917" spans="1:6" ht="15.75" x14ac:dyDescent="0.25">
      <c r="A1917" s="157"/>
      <c r="B1917" s="157"/>
      <c r="C1917" s="157"/>
      <c r="D1917" s="157"/>
      <c r="E1917" s="157"/>
      <c r="F1917" s="157"/>
    </row>
    <row r="1918" spans="1:6" ht="15.75" x14ac:dyDescent="0.25">
      <c r="A1918" s="157"/>
      <c r="B1918" s="157"/>
      <c r="C1918" s="157"/>
      <c r="D1918" s="157"/>
      <c r="E1918" s="157"/>
      <c r="F1918" s="157"/>
    </row>
    <row r="1919" spans="1:6" ht="15.75" x14ac:dyDescent="0.25">
      <c r="A1919" s="157"/>
      <c r="B1919" s="157"/>
      <c r="C1919" s="157"/>
      <c r="D1919" s="157"/>
      <c r="E1919" s="157"/>
      <c r="F1919" s="157"/>
    </row>
    <row r="1920" spans="1:6" ht="15.75" x14ac:dyDescent="0.25">
      <c r="A1920" s="157"/>
      <c r="B1920" s="157"/>
      <c r="C1920" s="157"/>
      <c r="D1920" s="157"/>
      <c r="E1920" s="157"/>
      <c r="F1920" s="157"/>
    </row>
    <row r="1921" spans="1:6" ht="15.75" x14ac:dyDescent="0.25">
      <c r="A1921" s="157"/>
      <c r="B1921" s="157"/>
      <c r="C1921" s="157"/>
      <c r="D1921" s="157"/>
      <c r="E1921" s="157"/>
      <c r="F1921" s="157"/>
    </row>
    <row r="1922" spans="1:6" ht="15.75" x14ac:dyDescent="0.25">
      <c r="A1922" s="157"/>
      <c r="B1922" s="157"/>
      <c r="C1922" s="157"/>
      <c r="D1922" s="157"/>
      <c r="E1922" s="157"/>
      <c r="F1922" s="157"/>
    </row>
    <row r="1923" spans="1:6" ht="15.75" x14ac:dyDescent="0.25">
      <c r="A1923" s="157"/>
      <c r="B1923" s="157"/>
      <c r="C1923" s="157"/>
      <c r="D1923" s="157"/>
      <c r="E1923" s="157"/>
      <c r="F1923" s="157"/>
    </row>
    <row r="1924" spans="1:6" ht="15.75" x14ac:dyDescent="0.25">
      <c r="A1924" s="157"/>
      <c r="B1924" s="157"/>
      <c r="C1924" s="157"/>
      <c r="D1924" s="157"/>
      <c r="E1924" s="157"/>
      <c r="F1924" s="157"/>
    </row>
    <row r="1925" spans="1:6" ht="15.75" x14ac:dyDescent="0.25">
      <c r="A1925" s="157"/>
      <c r="B1925" s="157"/>
      <c r="C1925" s="157"/>
      <c r="D1925" s="157"/>
      <c r="E1925" s="157"/>
      <c r="F1925" s="157"/>
    </row>
    <row r="1926" spans="1:6" ht="15.75" x14ac:dyDescent="0.25">
      <c r="A1926" s="157"/>
      <c r="B1926" s="157"/>
      <c r="C1926" s="157"/>
      <c r="D1926" s="157"/>
      <c r="E1926" s="157"/>
      <c r="F1926" s="157"/>
    </row>
    <row r="1927" spans="1:6" ht="15.75" x14ac:dyDescent="0.25">
      <c r="A1927" s="157"/>
      <c r="B1927" s="157"/>
      <c r="C1927" s="157"/>
      <c r="D1927" s="157"/>
      <c r="E1927" s="157"/>
      <c r="F1927" s="157"/>
    </row>
    <row r="1928" spans="1:6" ht="15.75" x14ac:dyDescent="0.25">
      <c r="A1928" s="157"/>
      <c r="B1928" s="157"/>
      <c r="C1928" s="157"/>
      <c r="D1928" s="157"/>
      <c r="E1928" s="157"/>
      <c r="F1928" s="157"/>
    </row>
    <row r="1929" spans="1:6" ht="15.75" x14ac:dyDescent="0.25">
      <c r="A1929" s="157"/>
      <c r="B1929" s="157"/>
      <c r="C1929" s="157"/>
      <c r="D1929" s="157"/>
      <c r="E1929" s="157"/>
      <c r="F1929" s="157"/>
    </row>
    <row r="1930" spans="1:6" ht="15.75" x14ac:dyDescent="0.25">
      <c r="A1930" s="157"/>
      <c r="B1930" s="157"/>
      <c r="C1930" s="157"/>
      <c r="D1930" s="157"/>
      <c r="E1930" s="157"/>
      <c r="F1930" s="157"/>
    </row>
    <row r="1931" spans="1:6" ht="15.75" x14ac:dyDescent="0.25">
      <c r="A1931" s="157"/>
      <c r="B1931" s="157"/>
      <c r="C1931" s="157"/>
      <c r="D1931" s="157"/>
      <c r="E1931" s="157"/>
      <c r="F1931" s="157"/>
    </row>
    <row r="1932" spans="1:6" ht="15.75" x14ac:dyDescent="0.25">
      <c r="A1932" s="157"/>
      <c r="B1932" s="157"/>
      <c r="C1932" s="157"/>
      <c r="D1932" s="157"/>
      <c r="E1932" s="157"/>
      <c r="F1932" s="157"/>
    </row>
    <row r="1933" spans="1:6" ht="15.75" x14ac:dyDescent="0.25">
      <c r="A1933" s="157"/>
      <c r="B1933" s="157"/>
      <c r="C1933" s="157"/>
      <c r="D1933" s="157"/>
      <c r="E1933" s="157"/>
      <c r="F1933" s="157"/>
    </row>
    <row r="1934" spans="1:6" ht="15.75" x14ac:dyDescent="0.25">
      <c r="A1934" s="157"/>
      <c r="B1934" s="157"/>
      <c r="C1934" s="157"/>
      <c r="D1934" s="157"/>
      <c r="E1934" s="157"/>
      <c r="F1934" s="157"/>
    </row>
    <row r="1935" spans="1:6" ht="15.75" x14ac:dyDescent="0.25">
      <c r="A1935" s="157"/>
      <c r="B1935" s="157"/>
      <c r="C1935" s="157"/>
      <c r="D1935" s="157"/>
      <c r="E1935" s="157"/>
      <c r="F1935" s="157"/>
    </row>
    <row r="1936" spans="1:6" ht="15.75" x14ac:dyDescent="0.25">
      <c r="A1936" s="157"/>
      <c r="B1936" s="157"/>
      <c r="C1936" s="157"/>
      <c r="D1936" s="157"/>
      <c r="E1936" s="157"/>
      <c r="F1936" s="157"/>
    </row>
    <row r="1937" spans="1:6" ht="15.75" x14ac:dyDescent="0.25">
      <c r="A1937" s="157"/>
      <c r="B1937" s="157"/>
      <c r="C1937" s="157"/>
      <c r="D1937" s="157"/>
      <c r="E1937" s="157"/>
      <c r="F1937" s="157"/>
    </row>
    <row r="1938" spans="1:6" ht="15.75" x14ac:dyDescent="0.25">
      <c r="A1938" s="157"/>
      <c r="B1938" s="157"/>
      <c r="C1938" s="157"/>
      <c r="D1938" s="157"/>
      <c r="E1938" s="157"/>
      <c r="F1938" s="157"/>
    </row>
    <row r="1939" spans="1:6" ht="15.75" x14ac:dyDescent="0.25">
      <c r="A1939" s="157"/>
      <c r="B1939" s="157"/>
      <c r="C1939" s="157"/>
      <c r="D1939" s="157"/>
      <c r="E1939" s="157"/>
      <c r="F1939" s="157"/>
    </row>
    <row r="1940" spans="1:6" ht="15.75" x14ac:dyDescent="0.25">
      <c r="A1940" s="157"/>
      <c r="B1940" s="157"/>
      <c r="C1940" s="157"/>
      <c r="D1940" s="157"/>
      <c r="E1940" s="157"/>
      <c r="F1940" s="157"/>
    </row>
    <row r="1941" spans="1:6" ht="15.75" x14ac:dyDescent="0.25">
      <c r="A1941" s="157"/>
      <c r="B1941" s="157"/>
      <c r="C1941" s="157"/>
      <c r="D1941" s="157"/>
      <c r="E1941" s="157"/>
      <c r="F1941" s="157"/>
    </row>
    <row r="1942" spans="1:6" ht="15.75" x14ac:dyDescent="0.25">
      <c r="A1942" s="157"/>
      <c r="B1942" s="157"/>
      <c r="C1942" s="157"/>
      <c r="D1942" s="157"/>
      <c r="E1942" s="157"/>
      <c r="F1942" s="157"/>
    </row>
    <row r="1943" spans="1:6" ht="15.75" x14ac:dyDescent="0.25">
      <c r="A1943" s="157"/>
      <c r="B1943" s="157"/>
      <c r="C1943" s="157"/>
      <c r="D1943" s="157"/>
      <c r="E1943" s="157"/>
      <c r="F1943" s="157"/>
    </row>
    <row r="1944" spans="1:6" ht="15.75" x14ac:dyDescent="0.25">
      <c r="A1944" s="157"/>
      <c r="B1944" s="157"/>
      <c r="C1944" s="157"/>
      <c r="D1944" s="157"/>
      <c r="E1944" s="157"/>
      <c r="F1944" s="157"/>
    </row>
    <row r="1945" spans="1:6" ht="15.75" x14ac:dyDescent="0.25">
      <c r="A1945" s="157"/>
      <c r="B1945" s="157"/>
      <c r="C1945" s="157"/>
      <c r="D1945" s="157"/>
      <c r="E1945" s="157"/>
      <c r="F1945" s="157"/>
    </row>
    <row r="1946" spans="1:6" ht="15.75" x14ac:dyDescent="0.25">
      <c r="A1946" s="157"/>
      <c r="B1946" s="157"/>
      <c r="C1946" s="157"/>
      <c r="D1946" s="157"/>
      <c r="E1946" s="157"/>
      <c r="F1946" s="157"/>
    </row>
    <row r="1947" spans="1:6" ht="15.75" x14ac:dyDescent="0.25">
      <c r="A1947" s="157"/>
      <c r="B1947" s="157"/>
      <c r="C1947" s="157"/>
      <c r="D1947" s="157"/>
      <c r="E1947" s="157"/>
      <c r="F1947" s="157"/>
    </row>
    <row r="1948" spans="1:6" ht="15.75" x14ac:dyDescent="0.25">
      <c r="A1948" s="157"/>
      <c r="B1948" s="157"/>
      <c r="C1948" s="157"/>
      <c r="D1948" s="157"/>
      <c r="E1948" s="157"/>
      <c r="F1948" s="157"/>
    </row>
    <row r="1949" spans="1:6" ht="15.75" x14ac:dyDescent="0.25">
      <c r="A1949" s="157"/>
      <c r="B1949" s="157"/>
      <c r="C1949" s="157"/>
      <c r="D1949" s="157"/>
      <c r="E1949" s="157"/>
      <c r="F1949" s="157"/>
    </row>
    <row r="1950" spans="1:6" ht="15.75" x14ac:dyDescent="0.25">
      <c r="A1950" s="157"/>
      <c r="B1950" s="157"/>
      <c r="C1950" s="157"/>
      <c r="D1950" s="157"/>
      <c r="E1950" s="157"/>
      <c r="F1950" s="157"/>
    </row>
    <row r="1951" spans="1:6" ht="15.75" x14ac:dyDescent="0.25">
      <c r="A1951" s="157"/>
      <c r="B1951" s="157"/>
      <c r="C1951" s="157"/>
      <c r="D1951" s="157"/>
      <c r="E1951" s="157"/>
      <c r="F1951" s="157"/>
    </row>
    <row r="1952" spans="1:6" ht="15.75" x14ac:dyDescent="0.25">
      <c r="A1952" s="157"/>
      <c r="B1952" s="157"/>
      <c r="C1952" s="157"/>
      <c r="D1952" s="157"/>
      <c r="E1952" s="157"/>
      <c r="F1952" s="157"/>
    </row>
    <row r="1953" spans="1:6" ht="15.75" x14ac:dyDescent="0.25">
      <c r="A1953" s="157"/>
      <c r="B1953" s="157"/>
      <c r="C1953" s="157"/>
      <c r="D1953" s="157"/>
      <c r="E1953" s="157"/>
      <c r="F1953" s="157"/>
    </row>
    <row r="1954" spans="1:6" ht="15.75" x14ac:dyDescent="0.25">
      <c r="A1954" s="157"/>
      <c r="B1954" s="157"/>
      <c r="C1954" s="157"/>
      <c r="D1954" s="157"/>
      <c r="E1954" s="157"/>
      <c r="F1954" s="157"/>
    </row>
    <row r="1955" spans="1:6" ht="15.75" x14ac:dyDescent="0.25">
      <c r="A1955" s="157"/>
      <c r="B1955" s="157"/>
      <c r="C1955" s="157"/>
      <c r="D1955" s="157"/>
      <c r="E1955" s="157"/>
      <c r="F1955" s="157"/>
    </row>
    <row r="1956" spans="1:6" ht="15.75" x14ac:dyDescent="0.25">
      <c r="A1956" s="157"/>
      <c r="B1956" s="157"/>
      <c r="C1956" s="157"/>
      <c r="D1956" s="157"/>
      <c r="E1956" s="157"/>
      <c r="F1956" s="157"/>
    </row>
    <row r="1957" spans="1:6" ht="15.75" x14ac:dyDescent="0.25">
      <c r="A1957" s="157"/>
      <c r="B1957" s="157"/>
      <c r="C1957" s="157"/>
      <c r="D1957" s="157"/>
      <c r="E1957" s="157"/>
      <c r="F1957" s="157"/>
    </row>
    <row r="1958" spans="1:6" ht="15.75" x14ac:dyDescent="0.25">
      <c r="A1958" s="157"/>
      <c r="B1958" s="157"/>
      <c r="C1958" s="157"/>
      <c r="D1958" s="157"/>
      <c r="E1958" s="157"/>
      <c r="F1958" s="157"/>
    </row>
    <row r="1959" spans="1:6" ht="15.75" x14ac:dyDescent="0.25">
      <c r="A1959" s="157"/>
      <c r="B1959" s="157"/>
      <c r="C1959" s="157"/>
      <c r="D1959" s="157"/>
      <c r="E1959" s="157"/>
      <c r="F1959" s="157"/>
    </row>
    <row r="1960" spans="1:6" ht="15.75" x14ac:dyDescent="0.25">
      <c r="A1960" s="157"/>
      <c r="B1960" s="157"/>
      <c r="C1960" s="157"/>
      <c r="D1960" s="157"/>
      <c r="E1960" s="157"/>
      <c r="F1960" s="157"/>
    </row>
    <row r="1961" spans="1:6" ht="15.75" x14ac:dyDescent="0.25">
      <c r="A1961" s="157"/>
      <c r="B1961" s="157"/>
      <c r="C1961" s="157"/>
      <c r="D1961" s="157"/>
      <c r="E1961" s="157"/>
      <c r="F1961" s="157"/>
    </row>
    <row r="1962" spans="1:6" ht="15.75" x14ac:dyDescent="0.25">
      <c r="A1962" s="157"/>
      <c r="B1962" s="157"/>
      <c r="C1962" s="157"/>
      <c r="D1962" s="157"/>
      <c r="E1962" s="157"/>
      <c r="F1962" s="157"/>
    </row>
    <row r="1963" spans="1:6" ht="15.75" x14ac:dyDescent="0.25">
      <c r="A1963" s="157"/>
      <c r="B1963" s="157"/>
      <c r="C1963" s="157"/>
      <c r="D1963" s="157"/>
      <c r="E1963" s="157"/>
      <c r="F1963" s="157"/>
    </row>
    <row r="1964" spans="1:6" ht="15.75" x14ac:dyDescent="0.25">
      <c r="A1964" s="157"/>
      <c r="B1964" s="157"/>
      <c r="C1964" s="157"/>
      <c r="D1964" s="157"/>
      <c r="E1964" s="157"/>
      <c r="F1964" s="157"/>
    </row>
    <row r="1965" spans="1:6" ht="15.75" x14ac:dyDescent="0.25">
      <c r="A1965" s="157"/>
      <c r="B1965" s="157"/>
      <c r="C1965" s="157"/>
      <c r="D1965" s="157"/>
      <c r="E1965" s="157"/>
      <c r="F1965" s="157"/>
    </row>
    <row r="1966" spans="1:6" ht="15.75" x14ac:dyDescent="0.25">
      <c r="A1966" s="157"/>
      <c r="B1966" s="157"/>
      <c r="C1966" s="157"/>
      <c r="D1966" s="157"/>
      <c r="E1966" s="157"/>
      <c r="F1966" s="157"/>
    </row>
    <row r="1967" spans="1:6" ht="15.75" x14ac:dyDescent="0.25">
      <c r="A1967" s="157"/>
      <c r="B1967" s="157"/>
      <c r="C1967" s="157"/>
      <c r="D1967" s="157"/>
      <c r="E1967" s="157"/>
      <c r="F1967" s="157"/>
    </row>
    <row r="1968" spans="1:6" ht="15.75" x14ac:dyDescent="0.25">
      <c r="A1968" s="157"/>
      <c r="B1968" s="157"/>
      <c r="C1968" s="157"/>
      <c r="D1968" s="157"/>
      <c r="E1968" s="157"/>
      <c r="F1968" s="157"/>
    </row>
    <row r="1969" spans="1:6" ht="15.75" x14ac:dyDescent="0.25">
      <c r="A1969" s="157"/>
      <c r="B1969" s="157"/>
      <c r="C1969" s="157"/>
      <c r="D1969" s="157"/>
      <c r="E1969" s="157"/>
      <c r="F1969" s="157"/>
    </row>
    <row r="1970" spans="1:6" ht="15.75" x14ac:dyDescent="0.25">
      <c r="A1970" s="157"/>
      <c r="B1970" s="157"/>
      <c r="C1970" s="157"/>
      <c r="D1970" s="157"/>
      <c r="E1970" s="157"/>
      <c r="F1970" s="157"/>
    </row>
    <row r="1971" spans="1:6" ht="15.75" x14ac:dyDescent="0.25">
      <c r="A1971" s="157"/>
      <c r="B1971" s="157"/>
      <c r="C1971" s="157"/>
      <c r="D1971" s="157"/>
      <c r="E1971" s="157"/>
      <c r="F1971" s="157"/>
    </row>
    <row r="1972" spans="1:6" ht="15.75" x14ac:dyDescent="0.25">
      <c r="A1972" s="157"/>
      <c r="B1972" s="157"/>
      <c r="C1972" s="157"/>
      <c r="D1972" s="157"/>
      <c r="E1972" s="157"/>
      <c r="F1972" s="157"/>
    </row>
    <row r="1973" spans="1:6" ht="15.75" x14ac:dyDescent="0.25">
      <c r="A1973" s="157"/>
      <c r="B1973" s="157"/>
      <c r="C1973" s="157"/>
      <c r="D1973" s="157"/>
      <c r="E1973" s="157"/>
      <c r="F1973" s="157"/>
    </row>
    <row r="1974" spans="1:6" ht="15.75" x14ac:dyDescent="0.25">
      <c r="A1974" s="157"/>
      <c r="B1974" s="157"/>
      <c r="C1974" s="157"/>
      <c r="D1974" s="157"/>
      <c r="E1974" s="157"/>
      <c r="F1974" s="157"/>
    </row>
    <row r="1975" spans="1:6" ht="15.75" x14ac:dyDescent="0.25">
      <c r="A1975" s="157"/>
      <c r="B1975" s="157"/>
      <c r="C1975" s="157"/>
      <c r="D1975" s="157"/>
      <c r="E1975" s="157"/>
      <c r="F1975" s="157"/>
    </row>
    <row r="1976" spans="1:6" ht="15.75" x14ac:dyDescent="0.25">
      <c r="A1976" s="157"/>
      <c r="B1976" s="157"/>
      <c r="C1976" s="157"/>
      <c r="D1976" s="157"/>
      <c r="E1976" s="157"/>
      <c r="F1976" s="157"/>
    </row>
    <row r="1977" spans="1:6" ht="15.75" x14ac:dyDescent="0.25">
      <c r="A1977" s="157"/>
      <c r="B1977" s="157"/>
      <c r="C1977" s="157"/>
      <c r="D1977" s="157"/>
      <c r="E1977" s="157"/>
      <c r="F1977" s="157"/>
    </row>
    <row r="1978" spans="1:6" ht="15.75" x14ac:dyDescent="0.25">
      <c r="A1978" s="157"/>
      <c r="B1978" s="157"/>
      <c r="C1978" s="157"/>
      <c r="D1978" s="157"/>
      <c r="E1978" s="157"/>
      <c r="F1978" s="157"/>
    </row>
    <row r="1979" spans="1:6" ht="15.75" x14ac:dyDescent="0.25">
      <c r="A1979" s="157"/>
      <c r="B1979" s="157"/>
      <c r="C1979" s="157"/>
      <c r="D1979" s="157"/>
      <c r="E1979" s="157"/>
      <c r="F1979" s="157"/>
    </row>
    <row r="1980" spans="1:6" ht="15.75" x14ac:dyDescent="0.25">
      <c r="A1980" s="157"/>
      <c r="B1980" s="157"/>
      <c r="C1980" s="157"/>
      <c r="D1980" s="157"/>
      <c r="E1980" s="157"/>
      <c r="F1980" s="157"/>
    </row>
    <row r="1981" spans="1:6" ht="15.75" x14ac:dyDescent="0.25">
      <c r="A1981" s="157"/>
      <c r="B1981" s="157"/>
      <c r="C1981" s="157"/>
      <c r="D1981" s="157"/>
      <c r="E1981" s="157"/>
      <c r="F1981" s="157"/>
    </row>
    <row r="1982" spans="1:6" ht="15.75" x14ac:dyDescent="0.25">
      <c r="A1982" s="157"/>
      <c r="B1982" s="157"/>
      <c r="C1982" s="157"/>
      <c r="D1982" s="157"/>
      <c r="E1982" s="157"/>
      <c r="F1982" s="157"/>
    </row>
    <row r="1983" spans="1:6" ht="15.75" x14ac:dyDescent="0.25">
      <c r="A1983" s="157"/>
      <c r="B1983" s="157"/>
      <c r="C1983" s="157"/>
      <c r="D1983" s="157"/>
      <c r="E1983" s="157"/>
      <c r="F1983" s="157"/>
    </row>
    <row r="1984" spans="1:6" ht="15.75" x14ac:dyDescent="0.25">
      <c r="A1984" s="157"/>
      <c r="B1984" s="157"/>
      <c r="C1984" s="157"/>
      <c r="D1984" s="157"/>
      <c r="E1984" s="157"/>
      <c r="F1984" s="157"/>
    </row>
    <row r="1985" spans="1:6" ht="15.75" x14ac:dyDescent="0.25">
      <c r="A1985" s="157"/>
      <c r="B1985" s="157"/>
      <c r="C1985" s="157"/>
      <c r="D1985" s="157"/>
      <c r="E1985" s="157"/>
      <c r="F1985" s="157"/>
    </row>
    <row r="1986" spans="1:6" ht="15.75" x14ac:dyDescent="0.25">
      <c r="A1986" s="157"/>
      <c r="B1986" s="157"/>
      <c r="C1986" s="157"/>
      <c r="D1986" s="157"/>
      <c r="E1986" s="157"/>
      <c r="F1986" s="157"/>
    </row>
    <row r="1987" spans="1:6" ht="15.75" x14ac:dyDescent="0.25">
      <c r="A1987" s="157"/>
      <c r="B1987" s="157"/>
      <c r="C1987" s="157"/>
      <c r="D1987" s="157"/>
      <c r="E1987" s="157"/>
      <c r="F1987" s="157"/>
    </row>
    <row r="1988" spans="1:6" ht="15.75" x14ac:dyDescent="0.25">
      <c r="A1988" s="157"/>
      <c r="B1988" s="157"/>
      <c r="C1988" s="157"/>
      <c r="D1988" s="157"/>
      <c r="E1988" s="157"/>
      <c r="F1988" s="157"/>
    </row>
    <row r="1989" spans="1:6" ht="15.75" x14ac:dyDescent="0.25">
      <c r="A1989" s="157"/>
      <c r="B1989" s="157"/>
      <c r="C1989" s="157"/>
      <c r="D1989" s="157"/>
      <c r="E1989" s="157"/>
      <c r="F1989" s="157"/>
    </row>
    <row r="1990" spans="1:6" ht="15.75" x14ac:dyDescent="0.25">
      <c r="A1990" s="157"/>
      <c r="B1990" s="157"/>
      <c r="C1990" s="157"/>
      <c r="D1990" s="157"/>
      <c r="E1990" s="157"/>
      <c r="F1990" s="157"/>
    </row>
    <row r="1991" spans="1:6" ht="15.75" x14ac:dyDescent="0.25">
      <c r="A1991" s="157"/>
      <c r="B1991" s="157"/>
      <c r="C1991" s="157"/>
      <c r="D1991" s="157"/>
      <c r="E1991" s="157"/>
      <c r="F1991" s="157"/>
    </row>
    <row r="1992" spans="1:6" ht="15.75" x14ac:dyDescent="0.25">
      <c r="A1992" s="157"/>
      <c r="B1992" s="157"/>
      <c r="C1992" s="157"/>
      <c r="D1992" s="157"/>
      <c r="E1992" s="157"/>
      <c r="F1992" s="157"/>
    </row>
    <row r="1993" spans="1:6" ht="15.75" x14ac:dyDescent="0.25">
      <c r="A1993" s="157"/>
      <c r="B1993" s="157"/>
      <c r="C1993" s="157"/>
      <c r="D1993" s="157"/>
      <c r="E1993" s="157"/>
      <c r="F1993" s="157"/>
    </row>
    <row r="1994" spans="1:6" ht="15.75" x14ac:dyDescent="0.25">
      <c r="A1994" s="157"/>
      <c r="B1994" s="157"/>
      <c r="C1994" s="157"/>
      <c r="D1994" s="157"/>
      <c r="E1994" s="157"/>
      <c r="F1994" s="157"/>
    </row>
    <row r="1995" spans="1:6" ht="15.75" x14ac:dyDescent="0.25">
      <c r="A1995" s="157"/>
      <c r="B1995" s="157"/>
      <c r="C1995" s="157"/>
      <c r="D1995" s="157"/>
      <c r="E1995" s="157"/>
      <c r="F1995" s="157"/>
    </row>
    <row r="1996" spans="1:6" ht="15.75" x14ac:dyDescent="0.25">
      <c r="A1996" s="157"/>
      <c r="B1996" s="157"/>
      <c r="C1996" s="157"/>
      <c r="D1996" s="157"/>
      <c r="E1996" s="157"/>
      <c r="F1996" s="157"/>
    </row>
    <row r="1997" spans="1:6" ht="15.75" x14ac:dyDescent="0.25">
      <c r="A1997" s="157"/>
      <c r="B1997" s="157"/>
      <c r="C1997" s="157"/>
      <c r="D1997" s="157"/>
      <c r="E1997" s="157"/>
      <c r="F1997" s="157"/>
    </row>
    <row r="1998" spans="1:6" ht="15.75" x14ac:dyDescent="0.25">
      <c r="A1998" s="157"/>
      <c r="B1998" s="157"/>
      <c r="C1998" s="157"/>
      <c r="D1998" s="157"/>
      <c r="E1998" s="157"/>
      <c r="F1998" s="157"/>
    </row>
    <row r="1999" spans="1:6" ht="15.75" x14ac:dyDescent="0.25">
      <c r="A1999" s="157"/>
      <c r="B1999" s="157"/>
      <c r="C1999" s="157"/>
      <c r="D1999" s="157"/>
      <c r="E1999" s="157"/>
      <c r="F1999" s="157"/>
    </row>
    <row r="2000" spans="1:6" ht="15.75" x14ac:dyDescent="0.25">
      <c r="A2000" s="157"/>
      <c r="B2000" s="157"/>
      <c r="C2000" s="157"/>
      <c r="D2000" s="157"/>
      <c r="E2000" s="157"/>
      <c r="F2000" s="157"/>
    </row>
    <row r="2001" spans="1:6" ht="15.75" x14ac:dyDescent="0.25">
      <c r="A2001" s="157"/>
      <c r="B2001" s="157"/>
      <c r="C2001" s="157"/>
      <c r="D2001" s="157"/>
      <c r="E2001" s="157"/>
      <c r="F2001" s="157"/>
    </row>
    <row r="2002" spans="1:6" ht="15.75" x14ac:dyDescent="0.25">
      <c r="A2002" s="157"/>
      <c r="B2002" s="157"/>
      <c r="C2002" s="157"/>
      <c r="D2002" s="157"/>
      <c r="E2002" s="157"/>
      <c r="F2002" s="157"/>
    </row>
    <row r="2003" spans="1:6" ht="15.75" x14ac:dyDescent="0.25">
      <c r="A2003" s="157"/>
      <c r="B2003" s="157"/>
      <c r="C2003" s="157"/>
      <c r="D2003" s="157"/>
      <c r="E2003" s="157"/>
      <c r="F2003" s="157"/>
    </row>
    <row r="2004" spans="1:6" ht="15.75" x14ac:dyDescent="0.25">
      <c r="A2004" s="157"/>
      <c r="B2004" s="157"/>
      <c r="C2004" s="157"/>
      <c r="D2004" s="157"/>
      <c r="E2004" s="157"/>
      <c r="F2004" s="157"/>
    </row>
    <row r="2005" spans="1:6" ht="15.75" x14ac:dyDescent="0.25">
      <c r="A2005" s="157"/>
      <c r="B2005" s="157"/>
      <c r="C2005" s="157"/>
      <c r="D2005" s="157"/>
      <c r="E2005" s="157"/>
      <c r="F2005" s="157"/>
    </row>
    <row r="2006" spans="1:6" ht="15.75" x14ac:dyDescent="0.25">
      <c r="A2006" s="157"/>
      <c r="B2006" s="157"/>
      <c r="C2006" s="157"/>
      <c r="D2006" s="157"/>
      <c r="E2006" s="157"/>
      <c r="F2006" s="157"/>
    </row>
    <row r="2007" spans="1:6" ht="15.75" x14ac:dyDescent="0.25">
      <c r="A2007" s="157"/>
      <c r="B2007" s="157"/>
      <c r="C2007" s="157"/>
      <c r="D2007" s="157"/>
      <c r="E2007" s="157"/>
      <c r="F2007" s="157"/>
    </row>
    <row r="2008" spans="1:6" ht="15.75" x14ac:dyDescent="0.25">
      <c r="A2008" s="157"/>
      <c r="B2008" s="157"/>
      <c r="C2008" s="157"/>
      <c r="D2008" s="157"/>
      <c r="E2008" s="157"/>
      <c r="F2008" s="157"/>
    </row>
    <row r="2009" spans="1:6" ht="15.75" x14ac:dyDescent="0.25">
      <c r="A2009" s="157"/>
      <c r="B2009" s="157"/>
      <c r="C2009" s="157"/>
      <c r="D2009" s="157"/>
      <c r="E2009" s="157"/>
      <c r="F2009" s="157"/>
    </row>
    <row r="2010" spans="1:6" ht="15.75" x14ac:dyDescent="0.25">
      <c r="A2010" s="157"/>
      <c r="B2010" s="157"/>
      <c r="C2010" s="157"/>
      <c r="D2010" s="157"/>
      <c r="E2010" s="157"/>
      <c r="F2010" s="157"/>
    </row>
    <row r="2011" spans="1:6" ht="15.75" x14ac:dyDescent="0.25">
      <c r="A2011" s="157"/>
      <c r="B2011" s="157"/>
      <c r="C2011" s="157"/>
      <c r="D2011" s="157"/>
      <c r="E2011" s="157"/>
      <c r="F2011" s="157"/>
    </row>
    <row r="2012" spans="1:6" ht="15.75" x14ac:dyDescent="0.25">
      <c r="A2012" s="157"/>
      <c r="B2012" s="157"/>
      <c r="C2012" s="157"/>
      <c r="D2012" s="157"/>
      <c r="E2012" s="157"/>
      <c r="F2012" s="157"/>
    </row>
    <row r="2013" spans="1:6" ht="15.75" x14ac:dyDescent="0.25">
      <c r="A2013" s="157"/>
      <c r="B2013" s="157"/>
      <c r="C2013" s="157"/>
      <c r="D2013" s="157"/>
      <c r="E2013" s="157"/>
      <c r="F2013" s="157"/>
    </row>
    <row r="2014" spans="1:6" ht="15.75" x14ac:dyDescent="0.25">
      <c r="A2014" s="157"/>
      <c r="B2014" s="157"/>
      <c r="C2014" s="157"/>
      <c r="D2014" s="157"/>
      <c r="E2014" s="157"/>
      <c r="F2014" s="157"/>
    </row>
    <row r="2015" spans="1:6" ht="15.75" x14ac:dyDescent="0.25">
      <c r="A2015" s="157"/>
      <c r="B2015" s="157"/>
      <c r="C2015" s="157"/>
      <c r="D2015" s="157"/>
      <c r="E2015" s="157"/>
      <c r="F2015" s="157"/>
    </row>
    <row r="2016" spans="1:6" ht="15.75" x14ac:dyDescent="0.25">
      <c r="A2016" s="157"/>
      <c r="B2016" s="157"/>
      <c r="C2016" s="157"/>
      <c r="D2016" s="157"/>
      <c r="E2016" s="157"/>
      <c r="F2016" s="157"/>
    </row>
    <row r="2017" spans="1:6" ht="15.75" x14ac:dyDescent="0.25">
      <c r="A2017" s="157"/>
      <c r="B2017" s="157"/>
      <c r="C2017" s="157"/>
      <c r="D2017" s="157"/>
      <c r="E2017" s="157"/>
      <c r="F2017" s="157"/>
    </row>
    <row r="2018" spans="1:6" ht="15.75" x14ac:dyDescent="0.25">
      <c r="A2018" s="157"/>
      <c r="B2018" s="157"/>
      <c r="C2018" s="157"/>
      <c r="D2018" s="157"/>
      <c r="E2018" s="157"/>
      <c r="F2018" s="157"/>
    </row>
    <row r="2019" spans="1:6" ht="15.75" x14ac:dyDescent="0.25">
      <c r="A2019" s="157"/>
      <c r="B2019" s="157"/>
      <c r="C2019" s="157"/>
      <c r="D2019" s="157"/>
      <c r="E2019" s="157"/>
      <c r="F2019" s="157"/>
    </row>
    <row r="2020" spans="1:6" ht="15.75" x14ac:dyDescent="0.25">
      <c r="A2020" s="157"/>
      <c r="B2020" s="157"/>
      <c r="C2020" s="157"/>
      <c r="D2020" s="157"/>
      <c r="E2020" s="157"/>
      <c r="F2020" s="157"/>
    </row>
    <row r="2021" spans="1:6" ht="15.75" x14ac:dyDescent="0.25">
      <c r="A2021" s="157"/>
      <c r="B2021" s="157"/>
      <c r="C2021" s="157"/>
      <c r="D2021" s="157"/>
      <c r="E2021" s="157"/>
      <c r="F2021" s="157"/>
    </row>
    <row r="2022" spans="1:6" ht="15.75" x14ac:dyDescent="0.25">
      <c r="A2022" s="157"/>
      <c r="B2022" s="157"/>
      <c r="C2022" s="157"/>
      <c r="D2022" s="157"/>
      <c r="E2022" s="157"/>
      <c r="F2022" s="157"/>
    </row>
    <row r="2023" spans="1:6" ht="15.75" x14ac:dyDescent="0.25">
      <c r="A2023" s="157"/>
      <c r="B2023" s="157"/>
      <c r="C2023" s="157"/>
      <c r="D2023" s="157"/>
      <c r="E2023" s="157"/>
      <c r="F2023" s="157"/>
    </row>
    <row r="2024" spans="1:6" ht="15.75" x14ac:dyDescent="0.25">
      <c r="A2024" s="157"/>
      <c r="B2024" s="157"/>
      <c r="C2024" s="157"/>
      <c r="D2024" s="157"/>
      <c r="E2024" s="157"/>
      <c r="F2024" s="157"/>
    </row>
    <row r="2025" spans="1:6" ht="15.75" x14ac:dyDescent="0.25">
      <c r="A2025" s="157"/>
      <c r="B2025" s="157"/>
      <c r="C2025" s="157"/>
      <c r="D2025" s="157"/>
      <c r="E2025" s="157"/>
      <c r="F2025" s="157"/>
    </row>
    <row r="2026" spans="1:6" ht="15.75" x14ac:dyDescent="0.25">
      <c r="A2026" s="157"/>
      <c r="B2026" s="157"/>
      <c r="C2026" s="157"/>
      <c r="D2026" s="157"/>
      <c r="E2026" s="157"/>
      <c r="F2026" s="157"/>
    </row>
    <row r="2027" spans="1:6" ht="15.75" x14ac:dyDescent="0.25">
      <c r="A2027" s="157"/>
      <c r="B2027" s="157"/>
      <c r="C2027" s="157"/>
      <c r="D2027" s="157"/>
      <c r="E2027" s="157"/>
      <c r="F2027" s="157"/>
    </row>
    <row r="2028" spans="1:6" ht="15.75" x14ac:dyDescent="0.25">
      <c r="A2028" s="157"/>
      <c r="B2028" s="157"/>
      <c r="C2028" s="157"/>
      <c r="D2028" s="157"/>
      <c r="E2028" s="157"/>
      <c r="F2028" s="157"/>
    </row>
    <row r="2029" spans="1:6" ht="15.75" x14ac:dyDescent="0.25">
      <c r="A2029" s="157"/>
      <c r="B2029" s="157"/>
      <c r="C2029" s="157"/>
      <c r="D2029" s="157"/>
      <c r="E2029" s="157"/>
      <c r="F2029" s="157"/>
    </row>
    <row r="2030" spans="1:6" ht="15.75" x14ac:dyDescent="0.25">
      <c r="A2030" s="157"/>
      <c r="B2030" s="157"/>
      <c r="C2030" s="157"/>
      <c r="D2030" s="157"/>
      <c r="E2030" s="157"/>
      <c r="F2030" s="157"/>
    </row>
    <row r="2031" spans="1:6" ht="15.75" x14ac:dyDescent="0.25">
      <c r="A2031" s="157"/>
      <c r="B2031" s="157"/>
      <c r="C2031" s="157"/>
      <c r="D2031" s="157"/>
      <c r="E2031" s="157"/>
      <c r="F2031" s="157"/>
    </row>
    <row r="2032" spans="1:6" ht="15.75" x14ac:dyDescent="0.25">
      <c r="A2032" s="157"/>
      <c r="B2032" s="157"/>
      <c r="C2032" s="157"/>
      <c r="D2032" s="157"/>
      <c r="E2032" s="157"/>
      <c r="F2032" s="157"/>
    </row>
    <row r="2033" spans="1:6" ht="15.75" x14ac:dyDescent="0.25">
      <c r="A2033" s="157"/>
      <c r="B2033" s="157"/>
      <c r="C2033" s="157"/>
      <c r="D2033" s="157"/>
      <c r="E2033" s="157"/>
      <c r="F2033" s="157"/>
    </row>
    <row r="2034" spans="1:6" ht="15.75" x14ac:dyDescent="0.25">
      <c r="A2034" s="157"/>
      <c r="B2034" s="157"/>
      <c r="C2034" s="157"/>
      <c r="D2034" s="157"/>
      <c r="E2034" s="157"/>
      <c r="F2034" s="157"/>
    </row>
    <row r="2035" spans="1:6" ht="15.75" x14ac:dyDescent="0.25">
      <c r="A2035" s="157"/>
      <c r="B2035" s="157"/>
      <c r="C2035" s="157"/>
      <c r="D2035" s="157"/>
      <c r="E2035" s="157"/>
      <c r="F2035" s="157"/>
    </row>
    <row r="2036" spans="1:6" ht="15.75" x14ac:dyDescent="0.25">
      <c r="A2036" s="157"/>
      <c r="B2036" s="157"/>
      <c r="C2036" s="157"/>
      <c r="D2036" s="157"/>
      <c r="E2036" s="157"/>
      <c r="F2036" s="157"/>
    </row>
    <row r="2037" spans="1:6" ht="15.75" x14ac:dyDescent="0.25">
      <c r="A2037" s="157"/>
      <c r="B2037" s="157"/>
      <c r="C2037" s="157"/>
      <c r="D2037" s="157"/>
      <c r="E2037" s="157"/>
      <c r="F2037" s="157"/>
    </row>
    <row r="2038" spans="1:6" ht="15.75" x14ac:dyDescent="0.25">
      <c r="A2038" s="157"/>
      <c r="B2038" s="157"/>
      <c r="C2038" s="157"/>
      <c r="D2038" s="157"/>
      <c r="E2038" s="157"/>
      <c r="F2038" s="157"/>
    </row>
    <row r="2039" spans="1:6" ht="15.75" x14ac:dyDescent="0.25">
      <c r="A2039" s="157"/>
      <c r="B2039" s="157"/>
      <c r="C2039" s="157"/>
      <c r="D2039" s="157"/>
      <c r="E2039" s="157"/>
      <c r="F2039" s="157"/>
    </row>
    <row r="2040" spans="1:6" ht="15.75" x14ac:dyDescent="0.25">
      <c r="A2040" s="157"/>
      <c r="B2040" s="157"/>
      <c r="C2040" s="157"/>
      <c r="D2040" s="157"/>
      <c r="E2040" s="157"/>
      <c r="F2040" s="157"/>
    </row>
    <row r="2041" spans="1:6" ht="15.75" x14ac:dyDescent="0.25">
      <c r="A2041" s="157"/>
      <c r="B2041" s="157"/>
      <c r="C2041" s="157"/>
      <c r="D2041" s="157"/>
      <c r="E2041" s="157"/>
      <c r="F2041" s="157"/>
    </row>
    <row r="2042" spans="1:6" ht="15.75" x14ac:dyDescent="0.25">
      <c r="A2042" s="157"/>
      <c r="B2042" s="157"/>
      <c r="C2042" s="157"/>
      <c r="D2042" s="157"/>
      <c r="E2042" s="157"/>
      <c r="F2042" s="157"/>
    </row>
    <row r="2043" spans="1:6" ht="15.75" x14ac:dyDescent="0.25">
      <c r="A2043" s="157"/>
      <c r="B2043" s="157"/>
      <c r="C2043" s="157"/>
      <c r="D2043" s="157"/>
      <c r="E2043" s="157"/>
      <c r="F2043" s="157"/>
    </row>
    <row r="2044" spans="1:6" ht="15.75" x14ac:dyDescent="0.25">
      <c r="A2044" s="157"/>
      <c r="B2044" s="157"/>
      <c r="C2044" s="157"/>
      <c r="D2044" s="157"/>
      <c r="E2044" s="157"/>
      <c r="F2044" s="157"/>
    </row>
    <row r="2045" spans="1:6" ht="15.75" x14ac:dyDescent="0.25">
      <c r="A2045" s="157"/>
      <c r="B2045" s="157"/>
      <c r="C2045" s="157"/>
      <c r="D2045" s="157"/>
      <c r="E2045" s="157"/>
      <c r="F2045" s="157"/>
    </row>
    <row r="2046" spans="1:6" ht="15.75" x14ac:dyDescent="0.25">
      <c r="A2046" s="157"/>
      <c r="B2046" s="157"/>
      <c r="C2046" s="157"/>
      <c r="D2046" s="157"/>
      <c r="E2046" s="157"/>
      <c r="F2046" s="157"/>
    </row>
    <row r="2047" spans="1:6" ht="15.75" x14ac:dyDescent="0.25">
      <c r="A2047" s="157"/>
      <c r="B2047" s="157"/>
      <c r="C2047" s="157"/>
      <c r="D2047" s="157"/>
      <c r="E2047" s="157"/>
      <c r="F2047" s="157"/>
    </row>
    <row r="2048" spans="1:6" ht="15.75" x14ac:dyDescent="0.25">
      <c r="A2048" s="157"/>
      <c r="B2048" s="157"/>
      <c r="C2048" s="157"/>
      <c r="D2048" s="157"/>
      <c r="E2048" s="157"/>
      <c r="F2048" s="157"/>
    </row>
    <row r="2049" spans="1:6" ht="15.75" x14ac:dyDescent="0.25">
      <c r="A2049" s="157"/>
      <c r="B2049" s="157"/>
      <c r="C2049" s="157"/>
      <c r="D2049" s="157"/>
      <c r="E2049" s="157"/>
      <c r="F2049" s="157"/>
    </row>
    <row r="2050" spans="1:6" ht="15.75" x14ac:dyDescent="0.25">
      <c r="A2050" s="157"/>
      <c r="B2050" s="157"/>
      <c r="C2050" s="157"/>
      <c r="D2050" s="157"/>
      <c r="E2050" s="157"/>
      <c r="F2050" s="157"/>
    </row>
    <row r="2051" spans="1:6" ht="15.75" x14ac:dyDescent="0.25">
      <c r="A2051" s="157"/>
      <c r="B2051" s="157"/>
      <c r="C2051" s="157"/>
      <c r="D2051" s="157"/>
      <c r="E2051" s="157"/>
      <c r="F2051" s="157"/>
    </row>
    <row r="2052" spans="1:6" ht="15.75" x14ac:dyDescent="0.25">
      <c r="A2052" s="157"/>
      <c r="B2052" s="157"/>
      <c r="C2052" s="157"/>
      <c r="D2052" s="157"/>
      <c r="E2052" s="157"/>
      <c r="F2052" s="157"/>
    </row>
    <row r="2053" spans="1:6" ht="15.75" x14ac:dyDescent="0.25">
      <c r="A2053" s="157"/>
      <c r="B2053" s="157"/>
      <c r="C2053" s="157"/>
      <c r="D2053" s="157"/>
      <c r="E2053" s="157"/>
      <c r="F2053" s="157"/>
    </row>
    <row r="2054" spans="1:6" ht="15.75" x14ac:dyDescent="0.25">
      <c r="A2054" s="157"/>
      <c r="B2054" s="157"/>
      <c r="C2054" s="157"/>
      <c r="D2054" s="157"/>
      <c r="E2054" s="157"/>
      <c r="F2054" s="157"/>
    </row>
    <row r="2055" spans="1:6" ht="15.75" x14ac:dyDescent="0.25">
      <c r="A2055" s="157"/>
      <c r="B2055" s="157"/>
      <c r="C2055" s="157"/>
      <c r="D2055" s="157"/>
      <c r="E2055" s="157"/>
      <c r="F2055" s="157"/>
    </row>
    <row r="2056" spans="1:6" ht="15.75" x14ac:dyDescent="0.25">
      <c r="A2056" s="157"/>
      <c r="B2056" s="157"/>
      <c r="C2056" s="157"/>
      <c r="D2056" s="157"/>
      <c r="E2056" s="157"/>
      <c r="F2056" s="157"/>
    </row>
    <row r="2057" spans="1:6" ht="15.75" x14ac:dyDescent="0.25">
      <c r="A2057" s="157"/>
      <c r="B2057" s="157"/>
      <c r="C2057" s="157"/>
      <c r="D2057" s="157"/>
      <c r="E2057" s="157"/>
      <c r="F2057" s="157"/>
    </row>
    <row r="2058" spans="1:6" ht="15.75" x14ac:dyDescent="0.25">
      <c r="A2058" s="157"/>
      <c r="B2058" s="157"/>
      <c r="C2058" s="157"/>
      <c r="D2058" s="157"/>
      <c r="E2058" s="157"/>
      <c r="F2058" s="157"/>
    </row>
    <row r="2059" spans="1:6" ht="15.75" x14ac:dyDescent="0.25">
      <c r="A2059" s="157"/>
      <c r="B2059" s="157"/>
      <c r="C2059" s="157"/>
      <c r="D2059" s="157"/>
      <c r="E2059" s="157"/>
      <c r="F2059" s="157"/>
    </row>
    <row r="2060" spans="1:6" ht="15.75" x14ac:dyDescent="0.25">
      <c r="A2060" s="157"/>
      <c r="B2060" s="157"/>
      <c r="C2060" s="157"/>
      <c r="D2060" s="157"/>
      <c r="E2060" s="157"/>
      <c r="F2060" s="157"/>
    </row>
    <row r="2061" spans="1:6" ht="15.75" x14ac:dyDescent="0.25">
      <c r="A2061" s="157"/>
      <c r="B2061" s="157"/>
      <c r="C2061" s="157"/>
      <c r="D2061" s="157"/>
      <c r="E2061" s="157"/>
      <c r="F2061" s="157"/>
    </row>
    <row r="2062" spans="1:6" ht="15.75" x14ac:dyDescent="0.25">
      <c r="A2062" s="157"/>
      <c r="B2062" s="157"/>
      <c r="C2062" s="157"/>
      <c r="D2062" s="157"/>
      <c r="E2062" s="157"/>
      <c r="F2062" s="157"/>
    </row>
    <row r="2063" spans="1:6" ht="15.75" x14ac:dyDescent="0.25">
      <c r="A2063" s="157"/>
      <c r="B2063" s="157"/>
      <c r="C2063" s="157"/>
      <c r="D2063" s="157"/>
      <c r="E2063" s="157"/>
      <c r="F2063" s="157"/>
    </row>
    <row r="2064" spans="1:6" ht="15.75" x14ac:dyDescent="0.25">
      <c r="A2064" s="157"/>
      <c r="B2064" s="157"/>
      <c r="C2064" s="157"/>
      <c r="D2064" s="157"/>
      <c r="E2064" s="157"/>
      <c r="F2064" s="157"/>
    </row>
    <row r="2065" spans="1:6" ht="15.75" x14ac:dyDescent="0.25">
      <c r="A2065" s="157"/>
      <c r="B2065" s="157"/>
      <c r="C2065" s="157"/>
      <c r="D2065" s="157"/>
      <c r="E2065" s="157"/>
      <c r="F2065" s="157"/>
    </row>
    <row r="2066" spans="1:6" ht="15.75" x14ac:dyDescent="0.25">
      <c r="A2066" s="157"/>
      <c r="B2066" s="157"/>
      <c r="C2066" s="157"/>
      <c r="D2066" s="157"/>
      <c r="E2066" s="157"/>
      <c r="F2066" s="157"/>
    </row>
    <row r="2067" spans="1:6" ht="15.75" x14ac:dyDescent="0.25">
      <c r="A2067" s="157"/>
      <c r="B2067" s="157"/>
      <c r="C2067" s="157"/>
      <c r="D2067" s="157"/>
      <c r="E2067" s="157"/>
      <c r="F2067" s="157"/>
    </row>
    <row r="2068" spans="1:6" ht="15.75" x14ac:dyDescent="0.25">
      <c r="A2068" s="157"/>
      <c r="B2068" s="157"/>
      <c r="C2068" s="157"/>
      <c r="D2068" s="157"/>
      <c r="E2068" s="157"/>
      <c r="F2068" s="157"/>
    </row>
    <row r="2069" spans="1:6" ht="15.75" x14ac:dyDescent="0.25">
      <c r="A2069" s="157"/>
      <c r="B2069" s="157"/>
      <c r="C2069" s="157"/>
      <c r="D2069" s="157"/>
      <c r="E2069" s="157"/>
      <c r="F2069" s="157"/>
    </row>
    <row r="2070" spans="1:6" ht="15.75" x14ac:dyDescent="0.25">
      <c r="A2070" s="157"/>
      <c r="B2070" s="157"/>
      <c r="C2070" s="157"/>
      <c r="D2070" s="157"/>
      <c r="E2070" s="157"/>
      <c r="F2070" s="157"/>
    </row>
    <row r="2071" spans="1:6" ht="15.75" x14ac:dyDescent="0.25">
      <c r="A2071" s="157"/>
      <c r="B2071" s="157"/>
      <c r="C2071" s="157"/>
      <c r="D2071" s="157"/>
      <c r="E2071" s="157"/>
      <c r="F2071" s="157"/>
    </row>
    <row r="2072" spans="1:6" ht="15.75" x14ac:dyDescent="0.25">
      <c r="A2072" s="157"/>
      <c r="B2072" s="157"/>
      <c r="C2072" s="157"/>
      <c r="D2072" s="157"/>
      <c r="E2072" s="157"/>
      <c r="F2072" s="157"/>
    </row>
    <row r="2073" spans="1:6" ht="15.75" x14ac:dyDescent="0.25">
      <c r="A2073" s="157"/>
      <c r="B2073" s="157"/>
      <c r="C2073" s="157"/>
      <c r="D2073" s="157"/>
      <c r="E2073" s="157"/>
      <c r="F2073" s="157"/>
    </row>
    <row r="2074" spans="1:6" ht="15.75" x14ac:dyDescent="0.25">
      <c r="A2074" s="157"/>
      <c r="B2074" s="157"/>
      <c r="C2074" s="157"/>
      <c r="D2074" s="157"/>
      <c r="E2074" s="157"/>
      <c r="F2074" s="157"/>
    </row>
    <row r="2075" spans="1:6" ht="15.75" x14ac:dyDescent="0.25">
      <c r="A2075" s="157"/>
      <c r="B2075" s="157"/>
      <c r="C2075" s="157"/>
      <c r="D2075" s="157"/>
      <c r="E2075" s="157"/>
      <c r="F2075" s="157"/>
    </row>
    <row r="2076" spans="1:6" ht="15.75" x14ac:dyDescent="0.25">
      <c r="A2076" s="157"/>
      <c r="B2076" s="157"/>
      <c r="C2076" s="157"/>
      <c r="D2076" s="157"/>
      <c r="E2076" s="157"/>
      <c r="F2076" s="157"/>
    </row>
    <row r="2077" spans="1:6" ht="15.75" x14ac:dyDescent="0.25">
      <c r="A2077" s="157"/>
      <c r="B2077" s="157"/>
      <c r="C2077" s="157"/>
      <c r="D2077" s="157"/>
      <c r="E2077" s="157"/>
      <c r="F2077" s="157"/>
    </row>
    <row r="2078" spans="1:6" ht="15.75" x14ac:dyDescent="0.25">
      <c r="A2078" s="157"/>
      <c r="B2078" s="157"/>
      <c r="C2078" s="157"/>
      <c r="D2078" s="157"/>
      <c r="E2078" s="157"/>
      <c r="F2078" s="157"/>
    </row>
    <row r="2079" spans="1:6" ht="15.75" x14ac:dyDescent="0.25">
      <c r="A2079" s="157"/>
      <c r="B2079" s="157"/>
      <c r="C2079" s="157"/>
      <c r="D2079" s="157"/>
      <c r="E2079" s="157"/>
      <c r="F2079" s="157"/>
    </row>
    <row r="2080" spans="1:6" ht="15.75" x14ac:dyDescent="0.25">
      <c r="A2080" s="157"/>
      <c r="B2080" s="157"/>
      <c r="C2080" s="157"/>
      <c r="D2080" s="157"/>
      <c r="E2080" s="157"/>
      <c r="F2080" s="157"/>
    </row>
    <row r="2081" spans="1:6" ht="15.75" x14ac:dyDescent="0.25">
      <c r="A2081" s="157"/>
      <c r="B2081" s="157"/>
      <c r="C2081" s="157"/>
      <c r="D2081" s="157"/>
      <c r="E2081" s="157"/>
      <c r="F2081" s="157"/>
    </row>
    <row r="2082" spans="1:6" ht="15.75" x14ac:dyDescent="0.25">
      <c r="A2082" s="157"/>
      <c r="B2082" s="157"/>
      <c r="C2082" s="157"/>
      <c r="D2082" s="157"/>
      <c r="E2082" s="157"/>
      <c r="F2082" s="157"/>
    </row>
    <row r="2083" spans="1:6" ht="15.75" x14ac:dyDescent="0.25">
      <c r="A2083" s="157"/>
      <c r="B2083" s="157"/>
      <c r="C2083" s="157"/>
      <c r="D2083" s="157"/>
      <c r="E2083" s="157"/>
      <c r="F2083" s="157"/>
    </row>
    <row r="2084" spans="1:6" ht="15.75" x14ac:dyDescent="0.25">
      <c r="A2084" s="157"/>
      <c r="B2084" s="157"/>
      <c r="C2084" s="157"/>
      <c r="D2084" s="157"/>
      <c r="E2084" s="157"/>
      <c r="F2084" s="157"/>
    </row>
    <row r="2085" spans="1:6" ht="15.75" x14ac:dyDescent="0.25">
      <c r="A2085" s="157"/>
      <c r="B2085" s="157"/>
      <c r="C2085" s="157"/>
      <c r="D2085" s="157"/>
      <c r="E2085" s="157"/>
      <c r="F2085" s="157"/>
    </row>
    <row r="2086" spans="1:6" ht="15.75" x14ac:dyDescent="0.25">
      <c r="A2086" s="157"/>
      <c r="B2086" s="157"/>
      <c r="C2086" s="157"/>
      <c r="D2086" s="157"/>
      <c r="E2086" s="157"/>
      <c r="F2086" s="157"/>
    </row>
    <row r="2087" spans="1:6" ht="15.75" x14ac:dyDescent="0.25">
      <c r="A2087" s="157"/>
      <c r="B2087" s="157"/>
      <c r="C2087" s="157"/>
      <c r="D2087" s="157"/>
      <c r="E2087" s="157"/>
      <c r="F2087" s="157"/>
    </row>
    <row r="2088" spans="1:6" ht="15.75" x14ac:dyDescent="0.25">
      <c r="A2088" s="157"/>
      <c r="B2088" s="157"/>
      <c r="C2088" s="157"/>
      <c r="D2088" s="157"/>
      <c r="E2088" s="157"/>
      <c r="F2088" s="157"/>
    </row>
    <row r="2089" spans="1:6" ht="15.75" x14ac:dyDescent="0.25">
      <c r="A2089" s="157"/>
      <c r="B2089" s="157"/>
      <c r="C2089" s="157"/>
      <c r="D2089" s="157"/>
      <c r="E2089" s="157"/>
      <c r="F2089" s="157"/>
    </row>
    <row r="2090" spans="1:6" ht="15.75" x14ac:dyDescent="0.25">
      <c r="A2090" s="157"/>
      <c r="B2090" s="157"/>
      <c r="C2090" s="157"/>
      <c r="D2090" s="157"/>
      <c r="E2090" s="157"/>
      <c r="F2090" s="157"/>
    </row>
    <row r="2091" spans="1:6" ht="15.75" x14ac:dyDescent="0.25">
      <c r="A2091" s="157"/>
      <c r="B2091" s="157"/>
      <c r="C2091" s="157"/>
      <c r="D2091" s="157"/>
      <c r="E2091" s="157"/>
      <c r="F2091" s="157"/>
    </row>
    <row r="2092" spans="1:6" ht="15.75" x14ac:dyDescent="0.25">
      <c r="A2092" s="157"/>
      <c r="B2092" s="157"/>
      <c r="C2092" s="157"/>
      <c r="D2092" s="157"/>
      <c r="E2092" s="157"/>
      <c r="F2092" s="157"/>
    </row>
    <row r="2093" spans="1:6" ht="15.75" x14ac:dyDescent="0.25">
      <c r="A2093" s="157"/>
      <c r="B2093" s="157"/>
      <c r="C2093" s="157"/>
      <c r="D2093" s="157"/>
      <c r="E2093" s="157"/>
      <c r="F2093" s="157"/>
    </row>
    <row r="2094" spans="1:6" ht="15.75" x14ac:dyDescent="0.25">
      <c r="A2094" s="157"/>
      <c r="B2094" s="157"/>
      <c r="C2094" s="157"/>
      <c r="D2094" s="157"/>
      <c r="E2094" s="157"/>
      <c r="F2094" s="157"/>
    </row>
    <row r="2095" spans="1:6" ht="15.75" x14ac:dyDescent="0.25">
      <c r="A2095" s="157"/>
      <c r="B2095" s="157"/>
      <c r="C2095" s="157"/>
      <c r="D2095" s="157"/>
      <c r="E2095" s="157"/>
      <c r="F2095" s="157"/>
    </row>
    <row r="2096" spans="1:6" ht="15.75" x14ac:dyDescent="0.25">
      <c r="A2096" s="157"/>
      <c r="B2096" s="157"/>
      <c r="C2096" s="157"/>
      <c r="D2096" s="157"/>
      <c r="E2096" s="157"/>
      <c r="F2096" s="157"/>
    </row>
    <row r="2097" spans="1:6" ht="15.75" x14ac:dyDescent="0.25">
      <c r="A2097" s="157"/>
      <c r="B2097" s="157"/>
      <c r="C2097" s="157"/>
      <c r="D2097" s="157"/>
      <c r="E2097" s="157"/>
      <c r="F2097" s="157"/>
    </row>
    <row r="2098" spans="1:6" ht="15.75" x14ac:dyDescent="0.25">
      <c r="A2098" s="157"/>
      <c r="B2098" s="157"/>
      <c r="C2098" s="157"/>
      <c r="D2098" s="157"/>
      <c r="E2098" s="157"/>
      <c r="F2098" s="157"/>
    </row>
    <row r="2099" spans="1:6" ht="15.75" x14ac:dyDescent="0.25">
      <c r="A2099" s="157"/>
      <c r="B2099" s="157"/>
      <c r="C2099" s="157"/>
      <c r="D2099" s="157"/>
      <c r="E2099" s="157"/>
      <c r="F2099" s="157"/>
    </row>
    <row r="2100" spans="1:6" ht="15.75" x14ac:dyDescent="0.25">
      <c r="A2100" s="157"/>
      <c r="B2100" s="157"/>
      <c r="C2100" s="157"/>
      <c r="D2100" s="157"/>
      <c r="E2100" s="157"/>
      <c r="F2100" s="157"/>
    </row>
    <row r="2101" spans="1:6" ht="15.75" x14ac:dyDescent="0.25">
      <c r="A2101" s="157"/>
      <c r="B2101" s="157"/>
      <c r="C2101" s="157"/>
      <c r="D2101" s="157"/>
      <c r="E2101" s="157"/>
      <c r="F2101" s="157"/>
    </row>
    <row r="2102" spans="1:6" ht="15.75" x14ac:dyDescent="0.25">
      <c r="A2102" s="157"/>
      <c r="B2102" s="157"/>
      <c r="C2102" s="157"/>
      <c r="D2102" s="157"/>
      <c r="E2102" s="157"/>
      <c r="F2102" s="157"/>
    </row>
    <row r="2103" spans="1:6" ht="15.75" x14ac:dyDescent="0.25">
      <c r="A2103" s="157"/>
      <c r="B2103" s="157"/>
      <c r="C2103" s="157"/>
      <c r="D2103" s="157"/>
      <c r="E2103" s="157"/>
      <c r="F2103" s="157"/>
    </row>
    <row r="2104" spans="1:6" ht="15.75" x14ac:dyDescent="0.25">
      <c r="A2104" s="157"/>
      <c r="B2104" s="157"/>
      <c r="C2104" s="157"/>
      <c r="D2104" s="157"/>
      <c r="E2104" s="157"/>
      <c r="F2104" s="157"/>
    </row>
    <row r="2105" spans="1:6" ht="15.75" x14ac:dyDescent="0.25">
      <c r="A2105" s="157"/>
      <c r="B2105" s="157"/>
      <c r="C2105" s="157"/>
      <c r="D2105" s="157"/>
      <c r="E2105" s="157"/>
      <c r="F2105" s="157"/>
    </row>
    <row r="2106" spans="1:6" ht="15.75" x14ac:dyDescent="0.25">
      <c r="A2106" s="157"/>
      <c r="B2106" s="157"/>
      <c r="C2106" s="157"/>
      <c r="D2106" s="157"/>
      <c r="E2106" s="157"/>
      <c r="F2106" s="157"/>
    </row>
    <row r="2107" spans="1:6" ht="15.75" x14ac:dyDescent="0.25">
      <c r="A2107" s="157"/>
      <c r="B2107" s="157"/>
      <c r="C2107" s="157"/>
      <c r="D2107" s="157"/>
      <c r="E2107" s="157"/>
      <c r="F2107" s="157"/>
    </row>
    <row r="2108" spans="1:6" ht="15.75" x14ac:dyDescent="0.25">
      <c r="A2108" s="157"/>
      <c r="B2108" s="157"/>
      <c r="C2108" s="157"/>
      <c r="D2108" s="157"/>
      <c r="E2108" s="157"/>
      <c r="F2108" s="157"/>
    </row>
    <row r="2109" spans="1:6" ht="15.75" x14ac:dyDescent="0.25">
      <c r="A2109" s="157"/>
      <c r="B2109" s="157"/>
      <c r="C2109" s="157"/>
      <c r="D2109" s="157"/>
      <c r="E2109" s="157"/>
      <c r="F2109" s="157"/>
    </row>
    <row r="2110" spans="1:6" ht="15.75" x14ac:dyDescent="0.25">
      <c r="A2110" s="157"/>
      <c r="B2110" s="157"/>
      <c r="C2110" s="157"/>
      <c r="D2110" s="157"/>
      <c r="E2110" s="157"/>
      <c r="F2110" s="157"/>
    </row>
    <row r="2111" spans="1:6" ht="15.75" x14ac:dyDescent="0.25">
      <c r="A2111" s="157"/>
      <c r="B2111" s="157"/>
      <c r="C2111" s="157"/>
      <c r="D2111" s="157"/>
      <c r="E2111" s="157"/>
      <c r="F2111" s="157"/>
    </row>
    <row r="2112" spans="1:6" ht="15.75" x14ac:dyDescent="0.25">
      <c r="A2112" s="157"/>
      <c r="B2112" s="157"/>
      <c r="C2112" s="157"/>
      <c r="D2112" s="157"/>
      <c r="E2112" s="157"/>
      <c r="F2112" s="157"/>
    </row>
    <row r="2113" spans="1:6" ht="15.75" x14ac:dyDescent="0.25">
      <c r="A2113" s="157"/>
      <c r="B2113" s="157"/>
      <c r="C2113" s="157"/>
      <c r="D2113" s="157"/>
      <c r="E2113" s="157"/>
      <c r="F2113" s="157"/>
    </row>
    <row r="2114" spans="1:6" ht="15.75" x14ac:dyDescent="0.25">
      <c r="A2114" s="157"/>
      <c r="B2114" s="157"/>
      <c r="C2114" s="157"/>
      <c r="D2114" s="157"/>
      <c r="E2114" s="157"/>
      <c r="F2114" s="157"/>
    </row>
    <row r="2115" spans="1:6" ht="15.75" x14ac:dyDescent="0.25">
      <c r="A2115" s="157"/>
      <c r="B2115" s="157"/>
      <c r="C2115" s="157"/>
      <c r="D2115" s="157"/>
      <c r="E2115" s="157"/>
      <c r="F2115" s="157"/>
    </row>
    <row r="2116" spans="1:6" ht="15.75" x14ac:dyDescent="0.25">
      <c r="A2116" s="157"/>
      <c r="B2116" s="157"/>
      <c r="C2116" s="157"/>
      <c r="D2116" s="157"/>
      <c r="E2116" s="157"/>
      <c r="F2116" s="157"/>
    </row>
    <row r="2117" spans="1:6" ht="15.75" x14ac:dyDescent="0.25">
      <c r="A2117" s="157"/>
      <c r="B2117" s="157"/>
      <c r="C2117" s="157"/>
      <c r="D2117" s="157"/>
      <c r="E2117" s="157"/>
      <c r="F2117" s="157"/>
    </row>
    <row r="2118" spans="1:6" ht="15.75" x14ac:dyDescent="0.25">
      <c r="A2118" s="157"/>
      <c r="B2118" s="157"/>
      <c r="C2118" s="157"/>
      <c r="D2118" s="157"/>
      <c r="E2118" s="157"/>
      <c r="F2118" s="157"/>
    </row>
    <row r="2119" spans="1:6" ht="15.75" x14ac:dyDescent="0.25">
      <c r="A2119" s="157"/>
      <c r="B2119" s="157"/>
      <c r="C2119" s="157"/>
      <c r="D2119" s="157"/>
      <c r="E2119" s="157"/>
      <c r="F2119" s="157"/>
    </row>
    <row r="2120" spans="1:6" ht="15.75" x14ac:dyDescent="0.25">
      <c r="A2120" s="157"/>
      <c r="B2120" s="157"/>
      <c r="C2120" s="157"/>
      <c r="D2120" s="157"/>
      <c r="E2120" s="157"/>
      <c r="F2120" s="157"/>
    </row>
    <row r="2121" spans="1:6" ht="15.75" x14ac:dyDescent="0.25">
      <c r="A2121" s="157"/>
      <c r="B2121" s="157"/>
      <c r="C2121" s="157"/>
      <c r="D2121" s="157"/>
      <c r="E2121" s="157"/>
      <c r="F2121" s="157"/>
    </row>
    <row r="2122" spans="1:6" ht="15.75" x14ac:dyDescent="0.25">
      <c r="A2122" s="157"/>
      <c r="B2122" s="157"/>
      <c r="C2122" s="157"/>
      <c r="D2122" s="157"/>
      <c r="E2122" s="157"/>
      <c r="F2122" s="157"/>
    </row>
    <row r="2123" spans="1:6" ht="15.75" x14ac:dyDescent="0.25">
      <c r="A2123" s="157"/>
      <c r="B2123" s="157"/>
      <c r="C2123" s="157"/>
      <c r="D2123" s="157"/>
      <c r="E2123" s="157"/>
      <c r="F2123" s="157"/>
    </row>
    <row r="2124" spans="1:6" ht="15.75" x14ac:dyDescent="0.25">
      <c r="A2124" s="157"/>
      <c r="B2124" s="157"/>
      <c r="C2124" s="157"/>
      <c r="D2124" s="157"/>
      <c r="E2124" s="157"/>
      <c r="F2124" s="157"/>
    </row>
    <row r="2125" spans="1:6" ht="15.75" x14ac:dyDescent="0.25">
      <c r="A2125" s="157"/>
      <c r="B2125" s="157"/>
      <c r="C2125" s="157"/>
      <c r="D2125" s="157"/>
      <c r="E2125" s="157"/>
      <c r="F2125" s="157"/>
    </row>
    <row r="2126" spans="1:6" ht="15.75" x14ac:dyDescent="0.25">
      <c r="A2126" s="157"/>
      <c r="B2126" s="157"/>
      <c r="C2126" s="157"/>
      <c r="D2126" s="157"/>
      <c r="E2126" s="157"/>
      <c r="F2126" s="157"/>
    </row>
    <row r="2127" spans="1:6" ht="15.75" x14ac:dyDescent="0.25">
      <c r="A2127" s="157"/>
      <c r="B2127" s="157"/>
      <c r="C2127" s="157"/>
      <c r="D2127" s="157"/>
      <c r="E2127" s="157"/>
      <c r="F2127" s="157"/>
    </row>
    <row r="2128" spans="1:6" ht="15.75" x14ac:dyDescent="0.25">
      <c r="A2128" s="157"/>
      <c r="B2128" s="157"/>
      <c r="C2128" s="157"/>
      <c r="D2128" s="157"/>
      <c r="E2128" s="157"/>
      <c r="F2128" s="157"/>
    </row>
    <row r="2129" spans="1:6" ht="15.75" x14ac:dyDescent="0.25">
      <c r="A2129" s="157"/>
      <c r="B2129" s="157"/>
      <c r="C2129" s="157"/>
      <c r="D2129" s="157"/>
      <c r="E2129" s="157"/>
      <c r="F2129" s="157"/>
    </row>
    <row r="2130" spans="1:6" ht="15.75" x14ac:dyDescent="0.25">
      <c r="A2130" s="157"/>
      <c r="B2130" s="157"/>
      <c r="C2130" s="157"/>
      <c r="D2130" s="157"/>
      <c r="E2130" s="157"/>
      <c r="F2130" s="157"/>
    </row>
    <row r="2131" spans="1:6" ht="15.75" x14ac:dyDescent="0.25">
      <c r="A2131" s="157"/>
      <c r="B2131" s="157"/>
      <c r="C2131" s="157"/>
      <c r="D2131" s="157"/>
      <c r="E2131" s="157"/>
      <c r="F2131" s="157"/>
    </row>
    <row r="2132" spans="1:6" ht="15.75" x14ac:dyDescent="0.25">
      <c r="A2132" s="157"/>
      <c r="B2132" s="157"/>
      <c r="C2132" s="157"/>
      <c r="D2132" s="157"/>
      <c r="E2132" s="157"/>
      <c r="F2132" s="157"/>
    </row>
    <row r="2133" spans="1:6" ht="15.75" x14ac:dyDescent="0.25">
      <c r="A2133" s="157"/>
      <c r="B2133" s="157"/>
      <c r="C2133" s="157"/>
      <c r="D2133" s="157"/>
      <c r="E2133" s="157"/>
      <c r="F2133" s="157"/>
    </row>
    <row r="2134" spans="1:6" ht="15.75" x14ac:dyDescent="0.25">
      <c r="A2134" s="157"/>
      <c r="B2134" s="157"/>
      <c r="C2134" s="157"/>
      <c r="D2134" s="157"/>
      <c r="E2134" s="157"/>
      <c r="F2134" s="157"/>
    </row>
    <row r="2135" spans="1:6" ht="15.75" x14ac:dyDescent="0.25">
      <c r="A2135" s="157"/>
      <c r="B2135" s="157"/>
      <c r="C2135" s="157"/>
      <c r="D2135" s="157"/>
      <c r="E2135" s="157"/>
      <c r="F2135" s="157"/>
    </row>
    <row r="2136" spans="1:6" ht="15.75" x14ac:dyDescent="0.25">
      <c r="A2136" s="157"/>
      <c r="B2136" s="157"/>
      <c r="C2136" s="157"/>
      <c r="D2136" s="157"/>
      <c r="E2136" s="157"/>
      <c r="F2136" s="157"/>
    </row>
    <row r="2137" spans="1:6" ht="15.75" x14ac:dyDescent="0.25">
      <c r="A2137" s="157"/>
      <c r="B2137" s="157"/>
      <c r="C2137" s="157"/>
      <c r="D2137" s="157"/>
      <c r="E2137" s="157"/>
      <c r="F2137" s="157"/>
    </row>
    <row r="2138" spans="1:6" ht="15.75" x14ac:dyDescent="0.25">
      <c r="A2138" s="157"/>
      <c r="B2138" s="157"/>
      <c r="C2138" s="157"/>
      <c r="D2138" s="157"/>
      <c r="E2138" s="157"/>
      <c r="F2138" s="157"/>
    </row>
    <row r="2139" spans="1:6" ht="15.75" x14ac:dyDescent="0.25">
      <c r="A2139" s="157"/>
      <c r="B2139" s="157"/>
      <c r="C2139" s="157"/>
      <c r="D2139" s="157"/>
      <c r="E2139" s="157"/>
      <c r="F2139" s="157"/>
    </row>
    <row r="2140" spans="1:6" ht="15.75" x14ac:dyDescent="0.25">
      <c r="A2140" s="157"/>
      <c r="B2140" s="157"/>
      <c r="C2140" s="157"/>
      <c r="D2140" s="157"/>
      <c r="E2140" s="157"/>
      <c r="F2140" s="157"/>
    </row>
    <row r="2141" spans="1:6" ht="15.75" x14ac:dyDescent="0.25">
      <c r="A2141" s="157"/>
      <c r="B2141" s="157"/>
      <c r="C2141" s="157"/>
      <c r="D2141" s="157"/>
      <c r="E2141" s="157"/>
      <c r="F2141" s="157"/>
    </row>
    <row r="2142" spans="1:6" ht="15.75" x14ac:dyDescent="0.25">
      <c r="A2142" s="157"/>
      <c r="B2142" s="157"/>
      <c r="C2142" s="157"/>
      <c r="D2142" s="157"/>
      <c r="E2142" s="157"/>
      <c r="F2142" s="157"/>
    </row>
    <row r="2143" spans="1:6" ht="15.75" x14ac:dyDescent="0.25">
      <c r="A2143" s="157"/>
      <c r="B2143" s="157"/>
      <c r="C2143" s="157"/>
      <c r="D2143" s="157"/>
      <c r="E2143" s="157"/>
      <c r="F2143" s="157"/>
    </row>
    <row r="2144" spans="1:6" ht="15.75" x14ac:dyDescent="0.25">
      <c r="A2144" s="157"/>
      <c r="B2144" s="157"/>
      <c r="C2144" s="157"/>
      <c r="D2144" s="157"/>
      <c r="E2144" s="157"/>
      <c r="F2144" s="157"/>
    </row>
    <row r="2145" spans="1:6" ht="15.75" x14ac:dyDescent="0.25">
      <c r="A2145" s="157"/>
      <c r="B2145" s="157"/>
      <c r="C2145" s="157"/>
      <c r="D2145" s="157"/>
      <c r="E2145" s="157"/>
      <c r="F2145" s="157"/>
    </row>
    <row r="2146" spans="1:6" ht="15.75" x14ac:dyDescent="0.25">
      <c r="A2146" s="157"/>
      <c r="B2146" s="157"/>
      <c r="C2146" s="157"/>
      <c r="D2146" s="157"/>
      <c r="E2146" s="157"/>
      <c r="F2146" s="157"/>
    </row>
    <row r="2147" spans="1:6" ht="15.75" x14ac:dyDescent="0.25">
      <c r="A2147" s="157"/>
      <c r="B2147" s="157"/>
      <c r="C2147" s="157"/>
      <c r="D2147" s="157"/>
      <c r="E2147" s="157"/>
      <c r="F2147" s="157"/>
    </row>
    <row r="2148" spans="1:6" ht="15.75" x14ac:dyDescent="0.25">
      <c r="A2148" s="157"/>
      <c r="B2148" s="157"/>
      <c r="C2148" s="157"/>
      <c r="D2148" s="157"/>
      <c r="E2148" s="157"/>
      <c r="F2148" s="157"/>
    </row>
    <row r="2149" spans="1:6" ht="15.75" x14ac:dyDescent="0.25">
      <c r="A2149" s="157"/>
      <c r="B2149" s="157"/>
      <c r="C2149" s="157"/>
      <c r="D2149" s="157"/>
      <c r="E2149" s="157"/>
      <c r="F2149" s="157"/>
    </row>
    <row r="2150" spans="1:6" ht="15.75" x14ac:dyDescent="0.25">
      <c r="A2150" s="157"/>
      <c r="B2150" s="157"/>
      <c r="C2150" s="157"/>
      <c r="D2150" s="157"/>
      <c r="E2150" s="157"/>
      <c r="F2150" s="157"/>
    </row>
    <row r="2151" spans="1:6" ht="15.75" x14ac:dyDescent="0.25">
      <c r="A2151" s="157"/>
      <c r="B2151" s="157"/>
      <c r="C2151" s="157"/>
      <c r="D2151" s="157"/>
      <c r="E2151" s="157"/>
      <c r="F2151" s="157"/>
    </row>
    <row r="2152" spans="1:6" ht="15.75" x14ac:dyDescent="0.25">
      <c r="A2152" s="157"/>
      <c r="B2152" s="157"/>
      <c r="C2152" s="157"/>
      <c r="D2152" s="157"/>
      <c r="E2152" s="157"/>
      <c r="F2152" s="157"/>
    </row>
    <row r="2153" spans="1:6" ht="15.75" x14ac:dyDescent="0.25">
      <c r="A2153" s="157"/>
      <c r="B2153" s="157"/>
      <c r="C2153" s="157"/>
      <c r="D2153" s="157"/>
      <c r="E2153" s="157"/>
      <c r="F2153" s="157"/>
    </row>
    <row r="2154" spans="1:6" ht="15.75" x14ac:dyDescent="0.25">
      <c r="A2154" s="157"/>
      <c r="B2154" s="157"/>
      <c r="C2154" s="157"/>
      <c r="D2154" s="157"/>
      <c r="E2154" s="157"/>
      <c r="F2154" s="157"/>
    </row>
    <row r="2155" spans="1:6" ht="15.75" x14ac:dyDescent="0.25">
      <c r="A2155" s="157"/>
      <c r="B2155" s="157"/>
      <c r="C2155" s="157"/>
      <c r="D2155" s="157"/>
      <c r="E2155" s="157"/>
      <c r="F2155" s="157"/>
    </row>
    <row r="2156" spans="1:6" ht="15.75" x14ac:dyDescent="0.25">
      <c r="A2156" s="157"/>
      <c r="B2156" s="157"/>
      <c r="C2156" s="157"/>
      <c r="D2156" s="157"/>
      <c r="E2156" s="157"/>
      <c r="F2156" s="157"/>
    </row>
    <row r="2157" spans="1:6" ht="15.75" x14ac:dyDescent="0.25">
      <c r="A2157" s="157"/>
      <c r="B2157" s="157"/>
      <c r="C2157" s="157"/>
      <c r="D2157" s="157"/>
      <c r="E2157" s="157"/>
      <c r="F2157" s="157"/>
    </row>
    <row r="2158" spans="1:6" ht="15.75" x14ac:dyDescent="0.25">
      <c r="A2158" s="157"/>
      <c r="B2158" s="157"/>
      <c r="C2158" s="157"/>
      <c r="D2158" s="157"/>
      <c r="E2158" s="157"/>
      <c r="F2158" s="157"/>
    </row>
    <row r="2159" spans="1:6" ht="15.75" x14ac:dyDescent="0.25">
      <c r="A2159" s="157"/>
      <c r="B2159" s="157"/>
      <c r="C2159" s="157"/>
      <c r="D2159" s="157"/>
      <c r="E2159" s="157"/>
      <c r="F2159" s="157"/>
    </row>
    <row r="2160" spans="1:6" ht="15.75" x14ac:dyDescent="0.25">
      <c r="A2160" s="157"/>
      <c r="B2160" s="157"/>
      <c r="C2160" s="157"/>
      <c r="D2160" s="157"/>
      <c r="E2160" s="157"/>
      <c r="F2160" s="157"/>
    </row>
    <row r="2161" spans="1:6" ht="15.75" x14ac:dyDescent="0.25">
      <c r="A2161" s="157"/>
      <c r="B2161" s="157"/>
      <c r="C2161" s="157"/>
      <c r="D2161" s="157"/>
      <c r="E2161" s="157"/>
      <c r="F2161" s="157"/>
    </row>
    <row r="2162" spans="1:6" ht="15.75" x14ac:dyDescent="0.25">
      <c r="A2162" s="157"/>
      <c r="B2162" s="157"/>
      <c r="C2162" s="157"/>
      <c r="D2162" s="157"/>
      <c r="E2162" s="157"/>
      <c r="F2162" s="157"/>
    </row>
    <row r="2163" spans="1:6" ht="15.75" x14ac:dyDescent="0.25">
      <c r="A2163" s="157"/>
      <c r="B2163" s="157"/>
      <c r="C2163" s="157"/>
      <c r="D2163" s="157"/>
      <c r="E2163" s="157"/>
      <c r="F2163" s="157"/>
    </row>
    <row r="2164" spans="1:6" ht="15.75" x14ac:dyDescent="0.25">
      <c r="A2164" s="157"/>
      <c r="B2164" s="157"/>
      <c r="C2164" s="157"/>
      <c r="D2164" s="157"/>
      <c r="E2164" s="157"/>
      <c r="F2164" s="157"/>
    </row>
    <row r="2165" spans="1:6" ht="15.75" x14ac:dyDescent="0.25">
      <c r="A2165" s="157"/>
      <c r="B2165" s="157"/>
      <c r="C2165" s="157"/>
      <c r="D2165" s="157"/>
      <c r="E2165" s="157"/>
      <c r="F2165" s="157"/>
    </row>
    <row r="2166" spans="1:6" ht="15.75" x14ac:dyDescent="0.25">
      <c r="A2166" s="157"/>
      <c r="B2166" s="157"/>
      <c r="C2166" s="157"/>
      <c r="D2166" s="157"/>
      <c r="E2166" s="157"/>
      <c r="F2166" s="157"/>
    </row>
    <row r="2167" spans="1:6" ht="15.75" x14ac:dyDescent="0.25">
      <c r="A2167" s="157"/>
      <c r="B2167" s="157"/>
      <c r="C2167" s="157"/>
      <c r="D2167" s="157"/>
      <c r="E2167" s="157"/>
      <c r="F2167" s="157"/>
    </row>
    <row r="2168" spans="1:6" ht="15.75" x14ac:dyDescent="0.25">
      <c r="A2168" s="157"/>
      <c r="B2168" s="157"/>
      <c r="C2168" s="157"/>
      <c r="D2168" s="157"/>
      <c r="E2168" s="157"/>
      <c r="F2168" s="157"/>
    </row>
    <row r="2169" spans="1:6" ht="15.75" x14ac:dyDescent="0.25">
      <c r="A2169" s="157"/>
      <c r="B2169" s="157"/>
      <c r="C2169" s="157"/>
      <c r="D2169" s="157"/>
      <c r="E2169" s="157"/>
      <c r="F2169" s="157"/>
    </row>
    <row r="2170" spans="1:6" ht="15.75" x14ac:dyDescent="0.25">
      <c r="A2170" s="157"/>
      <c r="B2170" s="157"/>
      <c r="C2170" s="157"/>
      <c r="D2170" s="157"/>
      <c r="E2170" s="157"/>
      <c r="F2170" s="157"/>
    </row>
    <row r="2171" spans="1:6" ht="15.75" x14ac:dyDescent="0.25">
      <c r="A2171" s="157"/>
      <c r="B2171" s="157"/>
      <c r="C2171" s="157"/>
      <c r="D2171" s="157"/>
      <c r="E2171" s="157"/>
      <c r="F2171" s="157"/>
    </row>
    <row r="2172" spans="1:6" ht="15.75" x14ac:dyDescent="0.25">
      <c r="A2172" s="157"/>
      <c r="B2172" s="157"/>
      <c r="C2172" s="157"/>
      <c r="D2172" s="157"/>
      <c r="E2172" s="157"/>
      <c r="F2172" s="157"/>
    </row>
    <row r="2173" spans="1:6" ht="15.75" x14ac:dyDescent="0.25">
      <c r="A2173" s="157"/>
      <c r="B2173" s="157"/>
      <c r="C2173" s="157"/>
      <c r="D2173" s="157"/>
      <c r="E2173" s="157"/>
      <c r="F2173" s="157"/>
    </row>
    <row r="2174" spans="1:6" ht="15.75" x14ac:dyDescent="0.25">
      <c r="A2174" s="157"/>
      <c r="B2174" s="157"/>
      <c r="C2174" s="157"/>
      <c r="D2174" s="157"/>
      <c r="E2174" s="157"/>
      <c r="F2174" s="157"/>
    </row>
    <row r="2175" spans="1:6" ht="15.75" x14ac:dyDescent="0.25">
      <c r="A2175" s="157"/>
      <c r="B2175" s="157"/>
      <c r="C2175" s="157"/>
      <c r="D2175" s="157"/>
      <c r="E2175" s="157"/>
      <c r="F2175" s="157"/>
    </row>
    <row r="2176" spans="1:6" ht="15.75" x14ac:dyDescent="0.25">
      <c r="A2176" s="157"/>
      <c r="B2176" s="157"/>
      <c r="C2176" s="157"/>
      <c r="D2176" s="157"/>
      <c r="E2176" s="157"/>
      <c r="F2176" s="157"/>
    </row>
    <row r="2177" spans="1:6" ht="15.75" x14ac:dyDescent="0.25">
      <c r="A2177" s="157"/>
      <c r="B2177" s="157"/>
      <c r="C2177" s="157"/>
      <c r="D2177" s="157"/>
      <c r="E2177" s="157"/>
      <c r="F2177" s="157"/>
    </row>
    <row r="2178" spans="1:6" ht="15.75" x14ac:dyDescent="0.25">
      <c r="A2178" s="157"/>
      <c r="B2178" s="157"/>
      <c r="C2178" s="157"/>
      <c r="D2178" s="157"/>
      <c r="E2178" s="157"/>
      <c r="F2178" s="157"/>
    </row>
    <row r="2179" spans="1:6" ht="15.75" x14ac:dyDescent="0.25">
      <c r="A2179" s="157"/>
      <c r="B2179" s="157"/>
      <c r="C2179" s="157"/>
      <c r="D2179" s="157"/>
      <c r="E2179" s="157"/>
      <c r="F2179" s="157"/>
    </row>
    <row r="2180" spans="1:6" ht="15.75" x14ac:dyDescent="0.25">
      <c r="A2180" s="157"/>
      <c r="B2180" s="157"/>
      <c r="C2180" s="157"/>
      <c r="D2180" s="157"/>
      <c r="E2180" s="157"/>
      <c r="F2180" s="157"/>
    </row>
    <row r="2181" spans="1:6" ht="15.75" x14ac:dyDescent="0.25">
      <c r="A2181" s="157"/>
      <c r="B2181" s="157"/>
      <c r="C2181" s="157"/>
      <c r="D2181" s="157"/>
      <c r="E2181" s="157"/>
      <c r="F2181" s="157"/>
    </row>
    <row r="2182" spans="1:6" ht="15.75" x14ac:dyDescent="0.25">
      <c r="A2182" s="157"/>
      <c r="B2182" s="157"/>
      <c r="C2182" s="157"/>
      <c r="D2182" s="157"/>
      <c r="E2182" s="157"/>
      <c r="F2182" s="157"/>
    </row>
    <row r="2183" spans="1:6" ht="15.75" x14ac:dyDescent="0.25">
      <c r="A2183" s="157"/>
      <c r="B2183" s="157"/>
      <c r="C2183" s="157"/>
      <c r="D2183" s="157"/>
      <c r="E2183" s="157"/>
      <c r="F2183" s="157"/>
    </row>
    <row r="2184" spans="1:6" ht="15.75" x14ac:dyDescent="0.25">
      <c r="A2184" s="157"/>
      <c r="B2184" s="157"/>
      <c r="C2184" s="157"/>
      <c r="D2184" s="157"/>
      <c r="E2184" s="157"/>
      <c r="F2184" s="157"/>
    </row>
    <row r="2185" spans="1:6" ht="15.75" x14ac:dyDescent="0.25">
      <c r="A2185" s="157"/>
      <c r="B2185" s="157"/>
      <c r="C2185" s="157"/>
      <c r="D2185" s="157"/>
      <c r="E2185" s="157"/>
      <c r="F2185" s="157"/>
    </row>
    <row r="2186" spans="1:6" ht="15.75" x14ac:dyDescent="0.25">
      <c r="A2186" s="157"/>
      <c r="B2186" s="157"/>
      <c r="C2186" s="157"/>
      <c r="D2186" s="157"/>
      <c r="E2186" s="157"/>
      <c r="F2186" s="157"/>
    </row>
    <row r="2187" spans="1:6" ht="15.75" x14ac:dyDescent="0.25">
      <c r="A2187" s="157"/>
      <c r="B2187" s="157"/>
      <c r="C2187" s="157"/>
      <c r="D2187" s="157"/>
      <c r="E2187" s="157"/>
      <c r="F2187" s="157"/>
    </row>
    <row r="2188" spans="1:6" ht="15.75" x14ac:dyDescent="0.25">
      <c r="A2188" s="157"/>
      <c r="B2188" s="157"/>
      <c r="C2188" s="157"/>
      <c r="D2188" s="157"/>
      <c r="E2188" s="157"/>
      <c r="F2188" s="157"/>
    </row>
    <row r="2189" spans="1:6" ht="15.75" x14ac:dyDescent="0.25">
      <c r="A2189" s="157"/>
      <c r="B2189" s="157"/>
      <c r="C2189" s="157"/>
      <c r="D2189" s="157"/>
      <c r="E2189" s="157"/>
      <c r="F2189" s="157"/>
    </row>
    <row r="2190" spans="1:6" ht="15.75" x14ac:dyDescent="0.25">
      <c r="A2190" s="157"/>
      <c r="B2190" s="157"/>
      <c r="C2190" s="157"/>
      <c r="D2190" s="157"/>
      <c r="E2190" s="157"/>
      <c r="F2190" s="157"/>
    </row>
    <row r="2191" spans="1:6" ht="15.75" x14ac:dyDescent="0.25">
      <c r="A2191" s="157"/>
      <c r="B2191" s="157"/>
      <c r="C2191" s="157"/>
      <c r="D2191" s="157"/>
      <c r="E2191" s="157"/>
      <c r="F2191" s="157"/>
    </row>
    <row r="2192" spans="1:6" ht="15.75" x14ac:dyDescent="0.25">
      <c r="A2192" s="157"/>
      <c r="B2192" s="157"/>
      <c r="C2192" s="157"/>
      <c r="D2192" s="157"/>
      <c r="E2192" s="157"/>
      <c r="F2192" s="157"/>
    </row>
    <row r="2193" spans="1:6" ht="15.75" x14ac:dyDescent="0.25">
      <c r="A2193" s="157"/>
      <c r="B2193" s="157"/>
      <c r="C2193" s="157"/>
      <c r="D2193" s="157"/>
      <c r="E2193" s="157"/>
      <c r="F2193" s="157"/>
    </row>
    <row r="2194" spans="1:6" ht="15.75" x14ac:dyDescent="0.25">
      <c r="A2194" s="157"/>
      <c r="B2194" s="157"/>
      <c r="C2194" s="157"/>
      <c r="D2194" s="157"/>
      <c r="E2194" s="157"/>
      <c r="F2194" s="157"/>
    </row>
    <row r="2195" spans="1:6" ht="15.75" x14ac:dyDescent="0.25">
      <c r="A2195" s="157"/>
      <c r="B2195" s="157"/>
      <c r="C2195" s="157"/>
      <c r="D2195" s="157"/>
      <c r="E2195" s="157"/>
      <c r="F2195" s="157"/>
    </row>
    <row r="2196" spans="1:6" ht="15.75" x14ac:dyDescent="0.25">
      <c r="A2196" s="157"/>
      <c r="B2196" s="157"/>
      <c r="C2196" s="157"/>
      <c r="D2196" s="157"/>
      <c r="E2196" s="157"/>
      <c r="F2196" s="157"/>
    </row>
    <row r="2197" spans="1:6" ht="15.75" x14ac:dyDescent="0.25">
      <c r="A2197" s="157"/>
      <c r="B2197" s="157"/>
      <c r="C2197" s="157"/>
      <c r="D2197" s="157"/>
      <c r="E2197" s="157"/>
      <c r="F2197" s="157"/>
    </row>
    <row r="2198" spans="1:6" ht="15.75" x14ac:dyDescent="0.25">
      <c r="A2198" s="157"/>
      <c r="B2198" s="157"/>
      <c r="C2198" s="157"/>
      <c r="D2198" s="157"/>
      <c r="E2198" s="157"/>
      <c r="F2198" s="157"/>
    </row>
    <row r="2199" spans="1:6" ht="15.75" x14ac:dyDescent="0.25">
      <c r="A2199" s="157"/>
      <c r="B2199" s="157"/>
      <c r="C2199" s="157"/>
      <c r="D2199" s="157"/>
      <c r="E2199" s="157"/>
      <c r="F2199" s="157"/>
    </row>
    <row r="2200" spans="1:6" ht="15.75" x14ac:dyDescent="0.25">
      <c r="A2200" s="157"/>
      <c r="B2200" s="157"/>
      <c r="C2200" s="157"/>
      <c r="D2200" s="157"/>
      <c r="E2200" s="157"/>
      <c r="F2200" s="157"/>
    </row>
    <row r="2201" spans="1:6" ht="15.75" x14ac:dyDescent="0.25">
      <c r="A2201" s="157"/>
      <c r="B2201" s="157"/>
      <c r="C2201" s="157"/>
      <c r="D2201" s="157"/>
      <c r="E2201" s="157"/>
      <c r="F2201" s="157"/>
    </row>
    <row r="2202" spans="1:6" ht="15.75" x14ac:dyDescent="0.25">
      <c r="A2202" s="157"/>
      <c r="B2202" s="157"/>
      <c r="C2202" s="157"/>
      <c r="D2202" s="157"/>
      <c r="E2202" s="157"/>
      <c r="F2202" s="157"/>
    </row>
    <row r="2203" spans="1:6" ht="15.75" x14ac:dyDescent="0.25">
      <c r="A2203" s="157"/>
      <c r="B2203" s="157"/>
      <c r="C2203" s="157"/>
      <c r="D2203" s="157"/>
      <c r="E2203" s="157"/>
      <c r="F2203" s="157"/>
    </row>
    <row r="2204" spans="1:6" ht="15.75" x14ac:dyDescent="0.25">
      <c r="A2204" s="157"/>
      <c r="B2204" s="157"/>
      <c r="C2204" s="157"/>
      <c r="D2204" s="157"/>
      <c r="E2204" s="157"/>
      <c r="F2204" s="157"/>
    </row>
    <row r="2205" spans="1:6" ht="15.75" x14ac:dyDescent="0.25">
      <c r="A2205" s="157"/>
      <c r="B2205" s="157"/>
      <c r="C2205" s="157"/>
      <c r="D2205" s="157"/>
      <c r="E2205" s="157"/>
      <c r="F2205" s="157"/>
    </row>
    <row r="2206" spans="1:6" ht="15.75" x14ac:dyDescent="0.25">
      <c r="A2206" s="157"/>
      <c r="B2206" s="157"/>
      <c r="C2206" s="157"/>
      <c r="D2206" s="157"/>
      <c r="E2206" s="157"/>
      <c r="F2206" s="157"/>
    </row>
    <row r="2207" spans="1:6" ht="15.75" x14ac:dyDescent="0.25">
      <c r="A2207" s="157"/>
      <c r="B2207" s="157"/>
      <c r="C2207" s="157"/>
      <c r="D2207" s="157"/>
      <c r="E2207" s="157"/>
      <c r="F2207" s="157"/>
    </row>
    <row r="2208" spans="1:6" ht="15.75" x14ac:dyDescent="0.25">
      <c r="A2208" s="157"/>
      <c r="B2208" s="157"/>
      <c r="C2208" s="157"/>
      <c r="D2208" s="157"/>
      <c r="E2208" s="157"/>
      <c r="F2208" s="157"/>
    </row>
    <row r="2209" spans="1:6" ht="15.75" x14ac:dyDescent="0.25">
      <c r="A2209" s="157"/>
      <c r="B2209" s="157"/>
      <c r="C2209" s="157"/>
      <c r="D2209" s="157"/>
      <c r="E2209" s="157"/>
      <c r="F2209" s="157"/>
    </row>
    <row r="2210" spans="1:6" ht="15.75" x14ac:dyDescent="0.25">
      <c r="A2210" s="157"/>
      <c r="B2210" s="157"/>
      <c r="C2210" s="157"/>
      <c r="D2210" s="157"/>
      <c r="E2210" s="157"/>
      <c r="F2210" s="157"/>
    </row>
    <row r="2211" spans="1:6" ht="15.75" x14ac:dyDescent="0.25">
      <c r="A2211" s="157"/>
      <c r="B2211" s="157"/>
      <c r="C2211" s="157"/>
      <c r="D2211" s="157"/>
      <c r="E2211" s="157"/>
      <c r="F2211" s="157"/>
    </row>
    <row r="2212" spans="1:6" ht="15.75" x14ac:dyDescent="0.25">
      <c r="A2212" s="157"/>
      <c r="B2212" s="157"/>
      <c r="C2212" s="157"/>
      <c r="D2212" s="157"/>
      <c r="E2212" s="157"/>
      <c r="F2212" s="157"/>
    </row>
    <row r="2213" spans="1:6" ht="15.75" x14ac:dyDescent="0.25">
      <c r="A2213" s="157"/>
      <c r="B2213" s="157"/>
      <c r="C2213" s="157"/>
      <c r="D2213" s="157"/>
      <c r="E2213" s="157"/>
      <c r="F2213" s="157"/>
    </row>
    <row r="2214" spans="1:6" ht="15.75" x14ac:dyDescent="0.25">
      <c r="A2214" s="157"/>
      <c r="B2214" s="157"/>
      <c r="C2214" s="157"/>
      <c r="D2214" s="157"/>
      <c r="E2214" s="157"/>
      <c r="F2214" s="157"/>
    </row>
    <row r="2215" spans="1:6" ht="15.75" x14ac:dyDescent="0.25">
      <c r="A2215" s="157"/>
      <c r="B2215" s="157"/>
      <c r="C2215" s="157"/>
      <c r="D2215" s="157"/>
      <c r="E2215" s="157"/>
      <c r="F2215" s="157"/>
    </row>
    <row r="2216" spans="1:6" ht="15.75" x14ac:dyDescent="0.25">
      <c r="A2216" s="157"/>
      <c r="B2216" s="157"/>
      <c r="C2216" s="157"/>
      <c r="D2216" s="157"/>
      <c r="E2216" s="157"/>
      <c r="F2216" s="157"/>
    </row>
    <row r="2217" spans="1:6" ht="15.75" x14ac:dyDescent="0.25">
      <c r="A2217" s="157"/>
      <c r="B2217" s="157"/>
      <c r="C2217" s="157"/>
      <c r="D2217" s="157"/>
      <c r="E2217" s="157"/>
      <c r="F2217" s="157"/>
    </row>
    <row r="2218" spans="1:6" ht="15.75" x14ac:dyDescent="0.25">
      <c r="A2218" s="157"/>
      <c r="B2218" s="157"/>
      <c r="C2218" s="157"/>
      <c r="D2218" s="157"/>
      <c r="E2218" s="157"/>
      <c r="F2218" s="157"/>
    </row>
    <row r="2219" spans="1:6" ht="15.75" x14ac:dyDescent="0.25">
      <c r="A2219" s="157"/>
      <c r="B2219" s="157"/>
      <c r="C2219" s="157"/>
      <c r="D2219" s="157"/>
      <c r="E2219" s="157"/>
      <c r="F2219" s="157"/>
    </row>
    <row r="2220" spans="1:6" ht="15.75" x14ac:dyDescent="0.25">
      <c r="A2220" s="157"/>
      <c r="B2220" s="157"/>
      <c r="C2220" s="157"/>
      <c r="D2220" s="157"/>
      <c r="E2220" s="157"/>
      <c r="F2220" s="157"/>
    </row>
    <row r="2221" spans="1:6" ht="15.75" x14ac:dyDescent="0.25">
      <c r="A2221" s="157"/>
      <c r="B2221" s="157"/>
      <c r="C2221" s="157"/>
      <c r="D2221" s="157"/>
      <c r="E2221" s="157"/>
      <c r="F2221" s="157"/>
    </row>
    <row r="2222" spans="1:6" ht="15.75" x14ac:dyDescent="0.25">
      <c r="A2222" s="157"/>
      <c r="B2222" s="157"/>
      <c r="C2222" s="157"/>
      <c r="D2222" s="157"/>
      <c r="E2222" s="157"/>
      <c r="F2222" s="157"/>
    </row>
    <row r="2223" spans="1:6" ht="15.75" x14ac:dyDescent="0.25">
      <c r="A2223" s="157"/>
      <c r="B2223" s="157"/>
      <c r="C2223" s="157"/>
      <c r="D2223" s="157"/>
      <c r="E2223" s="157"/>
      <c r="F2223" s="157"/>
    </row>
    <row r="2224" spans="1:6" ht="15.75" x14ac:dyDescent="0.25">
      <c r="A2224" s="157"/>
      <c r="B2224" s="157"/>
      <c r="C2224" s="157"/>
      <c r="D2224" s="157"/>
      <c r="E2224" s="157"/>
      <c r="F2224" s="157"/>
    </row>
    <row r="2225" spans="1:6" ht="15.75" x14ac:dyDescent="0.25">
      <c r="A2225" s="157"/>
      <c r="B2225" s="157"/>
      <c r="C2225" s="157"/>
      <c r="D2225" s="157"/>
      <c r="E2225" s="157"/>
      <c r="F2225" s="157"/>
    </row>
    <row r="2226" spans="1:6" ht="15.75" x14ac:dyDescent="0.25">
      <c r="A2226" s="157"/>
      <c r="B2226" s="157"/>
      <c r="C2226" s="157"/>
      <c r="D2226" s="157"/>
      <c r="E2226" s="157"/>
      <c r="F2226" s="157"/>
    </row>
    <row r="2227" spans="1:6" ht="15.75" x14ac:dyDescent="0.25">
      <c r="A2227" s="157"/>
      <c r="B2227" s="157"/>
      <c r="C2227" s="157"/>
      <c r="D2227" s="157"/>
      <c r="E2227" s="157"/>
      <c r="F2227" s="157"/>
    </row>
    <row r="2228" spans="1:6" ht="15.75" x14ac:dyDescent="0.25">
      <c r="A2228" s="157"/>
      <c r="B2228" s="157"/>
      <c r="C2228" s="157"/>
      <c r="D2228" s="157"/>
      <c r="E2228" s="157"/>
      <c r="F2228" s="157"/>
    </row>
    <row r="2229" spans="1:6" ht="15.75" x14ac:dyDescent="0.25">
      <c r="A2229" s="157"/>
      <c r="B2229" s="157"/>
      <c r="C2229" s="157"/>
      <c r="D2229" s="157"/>
      <c r="E2229" s="157"/>
      <c r="F2229" s="157"/>
    </row>
    <row r="2230" spans="1:6" ht="15.75" x14ac:dyDescent="0.25">
      <c r="A2230" s="157"/>
      <c r="B2230" s="157"/>
      <c r="C2230" s="157"/>
      <c r="D2230" s="157"/>
      <c r="E2230" s="157"/>
      <c r="F2230" s="157"/>
    </row>
    <row r="2231" spans="1:6" ht="15.75" x14ac:dyDescent="0.25">
      <c r="A2231" s="157"/>
      <c r="B2231" s="157"/>
      <c r="C2231" s="157"/>
      <c r="D2231" s="157"/>
      <c r="E2231" s="157"/>
      <c r="F2231" s="157"/>
    </row>
    <row r="2232" spans="1:6" ht="15.75" x14ac:dyDescent="0.25">
      <c r="A2232" s="157"/>
      <c r="B2232" s="157"/>
      <c r="C2232" s="157"/>
      <c r="D2232" s="157"/>
      <c r="E2232" s="157"/>
      <c r="F2232" s="157"/>
    </row>
    <row r="2233" spans="1:6" ht="15.75" x14ac:dyDescent="0.25">
      <c r="A2233" s="157"/>
      <c r="B2233" s="157"/>
      <c r="C2233" s="157"/>
      <c r="D2233" s="157"/>
      <c r="E2233" s="157"/>
      <c r="F2233" s="157"/>
    </row>
    <row r="2234" spans="1:6" ht="15.75" x14ac:dyDescent="0.25">
      <c r="A2234" s="157"/>
      <c r="B2234" s="157"/>
      <c r="C2234" s="157"/>
      <c r="D2234" s="157"/>
      <c r="E2234" s="157"/>
      <c r="F2234" s="157"/>
    </row>
    <row r="2235" spans="1:6" ht="15.75" x14ac:dyDescent="0.25">
      <c r="A2235" s="157"/>
      <c r="B2235" s="157"/>
      <c r="C2235" s="157"/>
      <c r="D2235" s="157"/>
      <c r="E2235" s="157"/>
      <c r="F2235" s="157"/>
    </row>
    <row r="2236" spans="1:6" ht="15.75" x14ac:dyDescent="0.25">
      <c r="A2236" s="157"/>
      <c r="B2236" s="157"/>
      <c r="C2236" s="157"/>
      <c r="D2236" s="157"/>
      <c r="E2236" s="157"/>
      <c r="F2236" s="157"/>
    </row>
    <row r="2237" spans="1:6" ht="15.75" x14ac:dyDescent="0.25">
      <c r="A2237" s="157"/>
      <c r="B2237" s="157"/>
      <c r="C2237" s="157"/>
      <c r="D2237" s="157"/>
      <c r="E2237" s="157"/>
      <c r="F2237" s="157"/>
    </row>
    <row r="2238" spans="1:6" ht="15.75" x14ac:dyDescent="0.25">
      <c r="A2238" s="157"/>
      <c r="B2238" s="157"/>
      <c r="C2238" s="157"/>
      <c r="D2238" s="157"/>
      <c r="E2238" s="157"/>
      <c r="F2238" s="157"/>
    </row>
    <row r="2239" spans="1:6" ht="15.75" x14ac:dyDescent="0.25">
      <c r="A2239" s="157"/>
      <c r="B2239" s="157"/>
      <c r="C2239" s="157"/>
      <c r="D2239" s="157"/>
      <c r="E2239" s="157"/>
      <c r="F2239" s="157"/>
    </row>
    <row r="2240" spans="1:6" ht="15.75" x14ac:dyDescent="0.25">
      <c r="A2240" s="157"/>
      <c r="B2240" s="157"/>
      <c r="C2240" s="157"/>
      <c r="D2240" s="157"/>
      <c r="E2240" s="157"/>
      <c r="F2240" s="157"/>
    </row>
    <row r="2241" spans="1:6" ht="15.75" x14ac:dyDescent="0.25">
      <c r="A2241" s="157"/>
      <c r="B2241" s="157"/>
      <c r="C2241" s="157"/>
      <c r="D2241" s="157"/>
      <c r="E2241" s="157"/>
      <c r="F2241" s="157"/>
    </row>
    <row r="2242" spans="1:6" ht="15.75" x14ac:dyDescent="0.25">
      <c r="A2242" s="157"/>
      <c r="B2242" s="157"/>
      <c r="C2242" s="157"/>
      <c r="D2242" s="157"/>
      <c r="E2242" s="157"/>
      <c r="F2242" s="157"/>
    </row>
    <row r="2243" spans="1:6" ht="15.75" x14ac:dyDescent="0.25">
      <c r="A2243" s="157"/>
      <c r="B2243" s="157"/>
      <c r="C2243" s="157"/>
      <c r="D2243" s="157"/>
      <c r="E2243" s="157"/>
      <c r="F2243" s="157"/>
    </row>
    <row r="2244" spans="1:6" ht="15.75" x14ac:dyDescent="0.25">
      <c r="A2244" s="157"/>
      <c r="B2244" s="157"/>
      <c r="C2244" s="157"/>
      <c r="D2244" s="157"/>
      <c r="E2244" s="157"/>
      <c r="F2244" s="157"/>
    </row>
    <row r="2245" spans="1:6" ht="15.75" x14ac:dyDescent="0.25">
      <c r="A2245" s="157"/>
      <c r="B2245" s="157"/>
      <c r="C2245" s="157"/>
      <c r="D2245" s="157"/>
      <c r="E2245" s="157"/>
      <c r="F2245" s="157"/>
    </row>
    <row r="2246" spans="1:6" ht="15.75" x14ac:dyDescent="0.25">
      <c r="A2246" s="157"/>
      <c r="B2246" s="157"/>
      <c r="C2246" s="157"/>
      <c r="D2246" s="157"/>
      <c r="E2246" s="157"/>
      <c r="F2246" s="157"/>
    </row>
    <row r="2247" spans="1:6" ht="15.75" x14ac:dyDescent="0.25">
      <c r="A2247" s="157"/>
      <c r="B2247" s="157"/>
      <c r="C2247" s="157"/>
      <c r="D2247" s="157"/>
      <c r="E2247" s="157"/>
      <c r="F2247" s="157"/>
    </row>
    <row r="2248" spans="1:6" ht="15.75" x14ac:dyDescent="0.25">
      <c r="A2248" s="157"/>
      <c r="B2248" s="157"/>
      <c r="C2248" s="157"/>
      <c r="D2248" s="157"/>
      <c r="E2248" s="157"/>
      <c r="F2248" s="157"/>
    </row>
    <row r="2249" spans="1:6" ht="15.75" x14ac:dyDescent="0.25">
      <c r="A2249" s="157"/>
      <c r="B2249" s="157"/>
      <c r="C2249" s="157"/>
      <c r="D2249" s="157"/>
      <c r="E2249" s="157"/>
      <c r="F2249" s="157"/>
    </row>
    <row r="2250" spans="1:6" ht="15.75" x14ac:dyDescent="0.25">
      <c r="A2250" s="157"/>
      <c r="B2250" s="157"/>
      <c r="C2250" s="157"/>
      <c r="D2250" s="157"/>
      <c r="E2250" s="157"/>
      <c r="F2250" s="157"/>
    </row>
    <row r="2251" spans="1:6" ht="15.75" x14ac:dyDescent="0.25">
      <c r="A2251" s="157"/>
      <c r="B2251" s="157"/>
      <c r="C2251" s="157"/>
      <c r="D2251" s="157"/>
      <c r="E2251" s="157"/>
      <c r="F2251" s="157"/>
    </row>
    <row r="2252" spans="1:6" ht="15.75" x14ac:dyDescent="0.25">
      <c r="A2252" s="157"/>
      <c r="B2252" s="157"/>
      <c r="C2252" s="157"/>
      <c r="D2252" s="157"/>
      <c r="E2252" s="157"/>
      <c r="F2252" s="157"/>
    </row>
    <row r="2253" spans="1:6" ht="15.75" x14ac:dyDescent="0.25">
      <c r="A2253" s="157"/>
      <c r="B2253" s="157"/>
      <c r="C2253" s="157"/>
      <c r="D2253" s="157"/>
      <c r="E2253" s="157"/>
      <c r="F2253" s="157"/>
    </row>
    <row r="2254" spans="1:6" ht="15.75" x14ac:dyDescent="0.25">
      <c r="A2254" s="157"/>
      <c r="B2254" s="157"/>
      <c r="C2254" s="157"/>
      <c r="D2254" s="157"/>
      <c r="E2254" s="157"/>
      <c r="F2254" s="157"/>
    </row>
    <row r="2255" spans="1:6" ht="15.75" x14ac:dyDescent="0.25">
      <c r="A2255" s="157"/>
      <c r="B2255" s="157"/>
      <c r="C2255" s="157"/>
      <c r="D2255" s="157"/>
      <c r="E2255" s="157"/>
      <c r="F2255" s="157"/>
    </row>
    <row r="2256" spans="1:6" ht="15.75" x14ac:dyDescent="0.25">
      <c r="A2256" s="157"/>
      <c r="B2256" s="157"/>
      <c r="C2256" s="157"/>
      <c r="D2256" s="157"/>
      <c r="E2256" s="157"/>
      <c r="F2256" s="157"/>
    </row>
    <row r="2257" spans="1:6" ht="15.75" x14ac:dyDescent="0.25">
      <c r="A2257" s="157"/>
      <c r="B2257" s="157"/>
      <c r="C2257" s="157"/>
      <c r="D2257" s="157"/>
      <c r="E2257" s="157"/>
      <c r="F2257" s="157"/>
    </row>
    <row r="2258" spans="1:6" ht="15.75" x14ac:dyDescent="0.25">
      <c r="A2258" s="157"/>
      <c r="B2258" s="157"/>
      <c r="C2258" s="157"/>
      <c r="D2258" s="157"/>
      <c r="E2258" s="157"/>
      <c r="F2258" s="157"/>
    </row>
    <row r="2259" spans="1:6" ht="15.75" x14ac:dyDescent="0.25">
      <c r="A2259" s="157"/>
      <c r="B2259" s="157"/>
      <c r="C2259" s="157"/>
      <c r="D2259" s="157"/>
      <c r="E2259" s="157"/>
      <c r="F2259" s="157"/>
    </row>
    <row r="2260" spans="1:6" ht="15.75" x14ac:dyDescent="0.25">
      <c r="A2260" s="157"/>
      <c r="B2260" s="157"/>
      <c r="C2260" s="157"/>
      <c r="D2260" s="157"/>
      <c r="E2260" s="157"/>
      <c r="F2260" s="157"/>
    </row>
    <row r="2261" spans="1:6" ht="15.75" x14ac:dyDescent="0.25">
      <c r="A2261" s="157"/>
      <c r="B2261" s="157"/>
      <c r="C2261" s="157"/>
      <c r="D2261" s="157"/>
      <c r="E2261" s="157"/>
      <c r="F2261" s="157"/>
    </row>
    <row r="2262" spans="1:6" ht="15.75" x14ac:dyDescent="0.25">
      <c r="A2262" s="157"/>
      <c r="B2262" s="157"/>
      <c r="C2262" s="157"/>
      <c r="D2262" s="157"/>
      <c r="E2262" s="157"/>
      <c r="F2262" s="157"/>
    </row>
    <row r="2263" spans="1:6" ht="15.75" x14ac:dyDescent="0.25">
      <c r="A2263" s="157"/>
      <c r="B2263" s="157"/>
      <c r="C2263" s="157"/>
      <c r="D2263" s="157"/>
      <c r="E2263" s="157"/>
      <c r="F2263" s="157"/>
    </row>
    <row r="2264" spans="1:6" ht="15.75" x14ac:dyDescent="0.25">
      <c r="A2264" s="157"/>
      <c r="B2264" s="157"/>
      <c r="C2264" s="157"/>
      <c r="D2264" s="157"/>
      <c r="E2264" s="157"/>
      <c r="F2264" s="157"/>
    </row>
    <row r="2265" spans="1:6" ht="15.75" x14ac:dyDescent="0.25">
      <c r="A2265" s="157"/>
      <c r="B2265" s="157"/>
      <c r="C2265" s="157"/>
      <c r="D2265" s="157"/>
      <c r="E2265" s="157"/>
      <c r="F2265" s="157"/>
    </row>
    <row r="2266" spans="1:6" ht="15.75" x14ac:dyDescent="0.25">
      <c r="A2266" s="157"/>
      <c r="B2266" s="157"/>
      <c r="C2266" s="157"/>
      <c r="D2266" s="157"/>
      <c r="E2266" s="157"/>
      <c r="F2266" s="157"/>
    </row>
    <row r="2267" spans="1:6" ht="15.75" x14ac:dyDescent="0.25">
      <c r="A2267" s="157"/>
      <c r="B2267" s="157"/>
      <c r="C2267" s="157"/>
      <c r="D2267" s="157"/>
      <c r="E2267" s="157"/>
      <c r="F2267" s="157"/>
    </row>
    <row r="2268" spans="1:6" ht="15.75" x14ac:dyDescent="0.25">
      <c r="A2268" s="157"/>
      <c r="B2268" s="157"/>
      <c r="C2268" s="157"/>
      <c r="D2268" s="157"/>
      <c r="E2268" s="157"/>
      <c r="F2268" s="157"/>
    </row>
    <row r="2269" spans="1:6" ht="15.75" x14ac:dyDescent="0.25">
      <c r="A2269" s="157"/>
      <c r="B2269" s="157"/>
      <c r="C2269" s="157"/>
      <c r="D2269" s="157"/>
      <c r="E2269" s="157"/>
      <c r="F2269" s="157"/>
    </row>
    <row r="2270" spans="1:6" ht="15.75" x14ac:dyDescent="0.25">
      <c r="A2270" s="157"/>
      <c r="B2270" s="157"/>
      <c r="C2270" s="157"/>
      <c r="D2270" s="157"/>
      <c r="E2270" s="157"/>
      <c r="F2270" s="157"/>
    </row>
    <row r="2271" spans="1:6" ht="15.75" x14ac:dyDescent="0.25">
      <c r="A2271" s="157"/>
      <c r="B2271" s="157"/>
      <c r="C2271" s="157"/>
      <c r="D2271" s="157"/>
      <c r="E2271" s="157"/>
      <c r="F2271" s="157"/>
    </row>
    <row r="2272" spans="1:6" ht="15.75" x14ac:dyDescent="0.25">
      <c r="A2272" s="157"/>
      <c r="B2272" s="157"/>
      <c r="C2272" s="157"/>
      <c r="D2272" s="157"/>
      <c r="E2272" s="157"/>
      <c r="F2272" s="157"/>
    </row>
    <row r="2273" spans="1:6" ht="15.75" x14ac:dyDescent="0.25">
      <c r="A2273" s="157"/>
      <c r="B2273" s="157"/>
      <c r="C2273" s="157"/>
      <c r="D2273" s="157"/>
      <c r="E2273" s="157"/>
      <c r="F2273" s="157"/>
    </row>
    <row r="2274" spans="1:6" ht="15.75" x14ac:dyDescent="0.25">
      <c r="A2274" s="157"/>
      <c r="B2274" s="157"/>
      <c r="C2274" s="157"/>
      <c r="D2274" s="157"/>
      <c r="E2274" s="157"/>
      <c r="F2274" s="157"/>
    </row>
    <row r="2275" spans="1:6" ht="15.75" x14ac:dyDescent="0.25">
      <c r="A2275" s="157"/>
      <c r="B2275" s="157"/>
      <c r="C2275" s="157"/>
      <c r="D2275" s="157"/>
      <c r="E2275" s="157"/>
      <c r="F2275" s="157"/>
    </row>
    <row r="2276" spans="1:6" ht="15.75" x14ac:dyDescent="0.25">
      <c r="A2276" s="157"/>
      <c r="B2276" s="157"/>
      <c r="C2276" s="157"/>
      <c r="D2276" s="157"/>
      <c r="E2276" s="157"/>
      <c r="F2276" s="157"/>
    </row>
    <row r="2277" spans="1:6" ht="15.75" x14ac:dyDescent="0.25">
      <c r="A2277" s="157"/>
      <c r="B2277" s="157"/>
      <c r="C2277" s="157"/>
      <c r="D2277" s="157"/>
      <c r="E2277" s="157"/>
      <c r="F2277" s="157"/>
    </row>
    <row r="2278" spans="1:6" ht="15.75" x14ac:dyDescent="0.25">
      <c r="A2278" s="157"/>
      <c r="B2278" s="157"/>
      <c r="C2278" s="157"/>
      <c r="D2278" s="157"/>
      <c r="E2278" s="157"/>
      <c r="F2278" s="157"/>
    </row>
    <row r="2279" spans="1:6" ht="15.75" x14ac:dyDescent="0.25">
      <c r="A2279" s="157"/>
      <c r="B2279" s="157"/>
      <c r="C2279" s="157"/>
      <c r="D2279" s="157"/>
      <c r="E2279" s="157"/>
      <c r="F2279" s="157"/>
    </row>
    <row r="2280" spans="1:6" ht="15.75" x14ac:dyDescent="0.25">
      <c r="A2280" s="157"/>
      <c r="B2280" s="157"/>
      <c r="C2280" s="157"/>
      <c r="D2280" s="157"/>
      <c r="E2280" s="157"/>
      <c r="F2280" s="157"/>
    </row>
    <row r="2281" spans="1:6" ht="15.75" x14ac:dyDescent="0.25">
      <c r="A2281" s="157"/>
      <c r="B2281" s="157"/>
      <c r="C2281" s="157"/>
      <c r="D2281" s="157"/>
      <c r="E2281" s="157"/>
      <c r="F2281" s="157"/>
    </row>
    <row r="2282" spans="1:6" ht="15.75" x14ac:dyDescent="0.25">
      <c r="A2282" s="157"/>
      <c r="B2282" s="157"/>
      <c r="C2282" s="157"/>
      <c r="D2282" s="157"/>
      <c r="E2282" s="157"/>
      <c r="F2282" s="157"/>
    </row>
    <row r="2283" spans="1:6" ht="15.75" x14ac:dyDescent="0.25">
      <c r="A2283" s="157"/>
      <c r="B2283" s="157"/>
      <c r="C2283" s="157"/>
      <c r="D2283" s="157"/>
      <c r="E2283" s="157"/>
      <c r="F2283" s="157"/>
    </row>
    <row r="2284" spans="1:6" ht="15.75" x14ac:dyDescent="0.25">
      <c r="A2284" s="157"/>
      <c r="B2284" s="157"/>
      <c r="C2284" s="157"/>
      <c r="D2284" s="157"/>
      <c r="E2284" s="157"/>
      <c r="F2284" s="157"/>
    </row>
    <row r="2285" spans="1:6" ht="15.75" x14ac:dyDescent="0.25">
      <c r="A2285" s="157"/>
      <c r="B2285" s="157"/>
      <c r="C2285" s="157"/>
      <c r="D2285" s="157"/>
      <c r="E2285" s="157"/>
      <c r="F2285" s="157"/>
    </row>
    <row r="2286" spans="1:6" ht="15.75" x14ac:dyDescent="0.25">
      <c r="A2286" s="157"/>
      <c r="B2286" s="157"/>
      <c r="C2286" s="157"/>
      <c r="D2286" s="157"/>
      <c r="E2286" s="157"/>
      <c r="F2286" s="157"/>
    </row>
    <row r="2287" spans="1:6" ht="15.75" x14ac:dyDescent="0.25">
      <c r="A2287" s="157"/>
      <c r="B2287" s="157"/>
      <c r="C2287" s="157"/>
      <c r="D2287" s="157"/>
      <c r="E2287" s="157"/>
      <c r="F2287" s="157"/>
    </row>
    <row r="2288" spans="1:6" ht="15.75" x14ac:dyDescent="0.25">
      <c r="A2288" s="157"/>
      <c r="B2288" s="157"/>
      <c r="C2288" s="157"/>
      <c r="D2288" s="157"/>
      <c r="E2288" s="157"/>
      <c r="F2288" s="157"/>
    </row>
    <row r="2289" spans="1:6" ht="15.75" x14ac:dyDescent="0.25">
      <c r="A2289" s="157"/>
      <c r="B2289" s="157"/>
      <c r="C2289" s="157"/>
      <c r="D2289" s="157"/>
      <c r="E2289" s="157"/>
      <c r="F2289" s="157"/>
    </row>
    <row r="2290" spans="1:6" ht="15.75" x14ac:dyDescent="0.25">
      <c r="A2290" s="157"/>
      <c r="B2290" s="157"/>
      <c r="C2290" s="157"/>
      <c r="D2290" s="157"/>
      <c r="E2290" s="157"/>
      <c r="F2290" s="157"/>
    </row>
    <row r="2291" spans="1:6" ht="15.75" x14ac:dyDescent="0.25">
      <c r="A2291" s="157"/>
      <c r="B2291" s="157"/>
      <c r="C2291" s="157"/>
      <c r="D2291" s="157"/>
      <c r="E2291" s="157"/>
      <c r="F2291" s="157"/>
    </row>
    <row r="2292" spans="1:6" ht="15.75" x14ac:dyDescent="0.25">
      <c r="A2292" s="157"/>
      <c r="B2292" s="157"/>
      <c r="C2292" s="157"/>
      <c r="D2292" s="157"/>
      <c r="E2292" s="157"/>
      <c r="F2292" s="157"/>
    </row>
    <row r="2293" spans="1:6" ht="15.75" x14ac:dyDescent="0.25">
      <c r="A2293" s="157"/>
      <c r="B2293" s="157"/>
      <c r="C2293" s="157"/>
      <c r="D2293" s="157"/>
      <c r="E2293" s="157"/>
      <c r="F2293" s="157"/>
    </row>
    <row r="2294" spans="1:6" ht="15.75" x14ac:dyDescent="0.25">
      <c r="A2294" s="157"/>
      <c r="B2294" s="157"/>
      <c r="C2294" s="157"/>
      <c r="D2294" s="157"/>
      <c r="E2294" s="157"/>
      <c r="F2294" s="157"/>
    </row>
    <row r="2295" spans="1:6" ht="15.75" x14ac:dyDescent="0.25">
      <c r="A2295" s="157"/>
      <c r="B2295" s="157"/>
      <c r="C2295" s="157"/>
      <c r="D2295" s="157"/>
      <c r="E2295" s="157"/>
      <c r="F2295" s="157"/>
    </row>
    <row r="2296" spans="1:6" ht="15.75" x14ac:dyDescent="0.25">
      <c r="A2296" s="157"/>
      <c r="B2296" s="157"/>
      <c r="C2296" s="157"/>
      <c r="D2296" s="157"/>
      <c r="E2296" s="157"/>
      <c r="F2296" s="157"/>
    </row>
    <row r="2297" spans="1:6" ht="15.75" x14ac:dyDescent="0.25">
      <c r="A2297" s="157"/>
      <c r="B2297" s="157"/>
      <c r="C2297" s="157"/>
      <c r="D2297" s="157"/>
      <c r="E2297" s="157"/>
      <c r="F2297" s="157"/>
    </row>
    <row r="2298" spans="1:6" ht="15.75" x14ac:dyDescent="0.25">
      <c r="A2298" s="157"/>
      <c r="B2298" s="157"/>
      <c r="C2298" s="157"/>
      <c r="D2298" s="157"/>
      <c r="E2298" s="157"/>
      <c r="F2298" s="157"/>
    </row>
    <row r="2299" spans="1:6" ht="15.75" x14ac:dyDescent="0.25">
      <c r="A2299" s="157"/>
      <c r="B2299" s="157"/>
      <c r="C2299" s="157"/>
      <c r="D2299" s="157"/>
      <c r="E2299" s="157"/>
      <c r="F2299" s="157"/>
    </row>
    <row r="2300" spans="1:6" ht="15.75" x14ac:dyDescent="0.25">
      <c r="A2300" s="157"/>
      <c r="B2300" s="157"/>
      <c r="C2300" s="157"/>
      <c r="D2300" s="157"/>
      <c r="E2300" s="157"/>
      <c r="F2300" s="157"/>
    </row>
    <row r="2301" spans="1:6" ht="15.75" x14ac:dyDescent="0.25">
      <c r="A2301" s="157"/>
      <c r="B2301" s="157"/>
      <c r="C2301" s="157"/>
      <c r="D2301" s="157"/>
      <c r="E2301" s="157"/>
      <c r="F2301" s="157"/>
    </row>
    <row r="2302" spans="1:6" ht="15.75" x14ac:dyDescent="0.25">
      <c r="A2302" s="157"/>
      <c r="B2302" s="157"/>
      <c r="C2302" s="157"/>
      <c r="D2302" s="157"/>
      <c r="E2302" s="157"/>
      <c r="F2302" s="157"/>
    </row>
    <row r="2303" spans="1:6" ht="15.75" x14ac:dyDescent="0.25">
      <c r="A2303" s="157"/>
      <c r="B2303" s="157"/>
      <c r="C2303" s="157"/>
      <c r="D2303" s="157"/>
      <c r="E2303" s="157"/>
      <c r="F2303" s="157"/>
    </row>
    <row r="2304" spans="1:6" ht="15.75" x14ac:dyDescent="0.25">
      <c r="A2304" s="157"/>
      <c r="B2304" s="157"/>
      <c r="C2304" s="157"/>
      <c r="D2304" s="157"/>
      <c r="E2304" s="157"/>
      <c r="F2304" s="157"/>
    </row>
    <row r="2305" spans="1:6" ht="15.75" x14ac:dyDescent="0.25">
      <c r="A2305" s="157"/>
      <c r="B2305" s="157"/>
      <c r="C2305" s="157"/>
      <c r="D2305" s="157"/>
      <c r="E2305" s="157"/>
      <c r="F2305" s="157"/>
    </row>
    <row r="2306" spans="1:6" ht="15.75" x14ac:dyDescent="0.25">
      <c r="A2306" s="157"/>
      <c r="B2306" s="157"/>
      <c r="C2306" s="157"/>
      <c r="D2306" s="157"/>
      <c r="E2306" s="157"/>
      <c r="F2306" s="157"/>
    </row>
    <row r="2307" spans="1:6" ht="15.75" x14ac:dyDescent="0.25">
      <c r="A2307" s="157"/>
      <c r="B2307" s="157"/>
      <c r="C2307" s="157"/>
      <c r="D2307" s="157"/>
      <c r="E2307" s="157"/>
      <c r="F2307" s="157"/>
    </row>
    <row r="2308" spans="1:6" ht="15.75" x14ac:dyDescent="0.25">
      <c r="A2308" s="157"/>
      <c r="B2308" s="157"/>
      <c r="C2308" s="157"/>
      <c r="D2308" s="157"/>
      <c r="E2308" s="157"/>
      <c r="F2308" s="157"/>
    </row>
    <row r="2309" spans="1:6" ht="15.75" x14ac:dyDescent="0.25">
      <c r="A2309" s="157"/>
      <c r="B2309" s="157"/>
      <c r="C2309" s="157"/>
      <c r="D2309" s="157"/>
      <c r="E2309" s="157"/>
      <c r="F2309" s="157"/>
    </row>
    <row r="2310" spans="1:6" ht="15.75" x14ac:dyDescent="0.25">
      <c r="A2310" s="157"/>
      <c r="B2310" s="157"/>
      <c r="C2310" s="157"/>
      <c r="D2310" s="157"/>
      <c r="E2310" s="157"/>
      <c r="F2310" s="157"/>
    </row>
    <row r="2311" spans="1:6" ht="15.75" x14ac:dyDescent="0.25">
      <c r="A2311" s="157"/>
      <c r="B2311" s="157"/>
      <c r="C2311" s="157"/>
      <c r="D2311" s="157"/>
      <c r="E2311" s="157"/>
      <c r="F2311" s="157"/>
    </row>
    <row r="2312" spans="1:6" ht="15.75" x14ac:dyDescent="0.25">
      <c r="A2312" s="157"/>
      <c r="B2312" s="157"/>
      <c r="C2312" s="157"/>
      <c r="D2312" s="157"/>
      <c r="E2312" s="157"/>
      <c r="F2312" s="157"/>
    </row>
    <row r="2313" spans="1:6" ht="15.75" x14ac:dyDescent="0.25">
      <c r="A2313" s="157"/>
      <c r="B2313" s="157"/>
      <c r="C2313" s="157"/>
      <c r="D2313" s="157"/>
      <c r="E2313" s="157"/>
      <c r="F2313" s="157"/>
    </row>
    <row r="2314" spans="1:6" ht="15.75" x14ac:dyDescent="0.25">
      <c r="A2314" s="157"/>
      <c r="B2314" s="157"/>
      <c r="C2314" s="157"/>
      <c r="D2314" s="157"/>
      <c r="E2314" s="157"/>
      <c r="F2314" s="157"/>
    </row>
    <row r="2315" spans="1:6" ht="15.75" x14ac:dyDescent="0.25">
      <c r="A2315" s="157"/>
      <c r="B2315" s="157"/>
      <c r="C2315" s="157"/>
      <c r="D2315" s="157"/>
      <c r="E2315" s="157"/>
      <c r="F2315" s="157"/>
    </row>
    <row r="2316" spans="1:6" ht="15.75" x14ac:dyDescent="0.25">
      <c r="A2316" s="157"/>
      <c r="B2316" s="157"/>
      <c r="C2316" s="157"/>
      <c r="D2316" s="157"/>
      <c r="E2316" s="157"/>
      <c r="F2316" s="157"/>
    </row>
    <row r="2317" spans="1:6" ht="15.75" x14ac:dyDescent="0.25">
      <c r="A2317" s="157"/>
      <c r="B2317" s="157"/>
      <c r="C2317" s="157"/>
      <c r="D2317" s="157"/>
      <c r="E2317" s="157"/>
      <c r="F2317" s="157"/>
    </row>
    <row r="2318" spans="1:6" ht="15.75" x14ac:dyDescent="0.25">
      <c r="A2318" s="157"/>
      <c r="B2318" s="157"/>
      <c r="C2318" s="157"/>
      <c r="D2318" s="157"/>
      <c r="E2318" s="157"/>
      <c r="F2318" s="157"/>
    </row>
    <row r="2319" spans="1:6" ht="15.75" x14ac:dyDescent="0.25">
      <c r="A2319" s="157"/>
      <c r="B2319" s="157"/>
      <c r="C2319" s="157"/>
      <c r="D2319" s="157"/>
      <c r="E2319" s="157"/>
      <c r="F2319" s="157"/>
    </row>
    <row r="2320" spans="1:6" ht="15.75" x14ac:dyDescent="0.25">
      <c r="A2320" s="157"/>
      <c r="B2320" s="157"/>
      <c r="C2320" s="157"/>
      <c r="D2320" s="157"/>
      <c r="E2320" s="157"/>
      <c r="F2320" s="157"/>
    </row>
    <row r="2321" spans="1:6" ht="15.75" x14ac:dyDescent="0.25">
      <c r="A2321" s="157"/>
      <c r="B2321" s="157"/>
      <c r="C2321" s="157"/>
      <c r="D2321" s="157"/>
      <c r="E2321" s="157"/>
      <c r="F2321" s="157"/>
    </row>
    <row r="2322" spans="1:6" ht="15.75" x14ac:dyDescent="0.25">
      <c r="A2322" s="157"/>
      <c r="B2322" s="157"/>
      <c r="C2322" s="157"/>
      <c r="D2322" s="157"/>
      <c r="E2322" s="157"/>
      <c r="F2322" s="157"/>
    </row>
    <row r="2323" spans="1:6" ht="15.75" x14ac:dyDescent="0.25">
      <c r="A2323" s="157"/>
      <c r="B2323" s="157"/>
      <c r="C2323" s="157"/>
      <c r="D2323" s="157"/>
      <c r="E2323" s="157"/>
      <c r="F2323" s="157"/>
    </row>
    <row r="2324" spans="1:6" ht="15.75" x14ac:dyDescent="0.25">
      <c r="A2324" s="157"/>
      <c r="B2324" s="157"/>
      <c r="C2324" s="157"/>
      <c r="D2324" s="157"/>
      <c r="E2324" s="157"/>
      <c r="F2324" s="157"/>
    </row>
    <row r="2325" spans="1:6" ht="15.75" x14ac:dyDescent="0.25">
      <c r="A2325" s="157"/>
      <c r="B2325" s="157"/>
      <c r="C2325" s="157"/>
      <c r="D2325" s="157"/>
      <c r="E2325" s="157"/>
      <c r="F2325" s="157"/>
    </row>
    <row r="2326" spans="1:6" ht="15.75" x14ac:dyDescent="0.25">
      <c r="A2326" s="157"/>
      <c r="B2326" s="157"/>
      <c r="C2326" s="157"/>
      <c r="D2326" s="157"/>
      <c r="E2326" s="157"/>
      <c r="F2326" s="157"/>
    </row>
    <row r="2327" spans="1:6" ht="15.75" x14ac:dyDescent="0.25">
      <c r="A2327" s="157"/>
      <c r="B2327" s="157"/>
      <c r="C2327" s="157"/>
      <c r="D2327" s="157"/>
      <c r="E2327" s="157"/>
      <c r="F2327" s="157"/>
    </row>
    <row r="2328" spans="1:6" ht="15.75" x14ac:dyDescent="0.25">
      <c r="A2328" s="157"/>
      <c r="B2328" s="157"/>
      <c r="C2328" s="157"/>
      <c r="D2328" s="157"/>
      <c r="E2328" s="157"/>
      <c r="F2328" s="157"/>
    </row>
    <row r="2329" spans="1:6" ht="15.75" x14ac:dyDescent="0.25">
      <c r="A2329" s="157"/>
      <c r="B2329" s="157"/>
      <c r="C2329" s="157"/>
      <c r="D2329" s="157"/>
      <c r="E2329" s="157"/>
      <c r="F2329" s="157"/>
    </row>
    <row r="2330" spans="1:6" ht="15.75" x14ac:dyDescent="0.25">
      <c r="A2330" s="157"/>
      <c r="B2330" s="157"/>
      <c r="C2330" s="157"/>
      <c r="D2330" s="157"/>
      <c r="E2330" s="157"/>
      <c r="F2330" s="157"/>
    </row>
    <row r="2331" spans="1:6" ht="15.75" x14ac:dyDescent="0.25">
      <c r="A2331" s="157"/>
      <c r="B2331" s="157"/>
      <c r="C2331" s="157"/>
      <c r="D2331" s="157"/>
      <c r="E2331" s="157"/>
      <c r="F2331" s="157"/>
    </row>
    <row r="2332" spans="1:6" ht="15.75" x14ac:dyDescent="0.25">
      <c r="A2332" s="157"/>
      <c r="B2332" s="157"/>
      <c r="C2332" s="157"/>
      <c r="D2332" s="157"/>
      <c r="E2332" s="157"/>
      <c r="F2332" s="157"/>
    </row>
    <row r="2333" spans="1:6" ht="15.75" x14ac:dyDescent="0.25">
      <c r="A2333" s="157"/>
      <c r="B2333" s="157"/>
      <c r="C2333" s="157"/>
      <c r="D2333" s="157"/>
      <c r="E2333" s="157"/>
      <c r="F2333" s="157"/>
    </row>
    <row r="2334" spans="1:6" ht="15.75" x14ac:dyDescent="0.25">
      <c r="A2334" s="157"/>
      <c r="B2334" s="157"/>
      <c r="C2334" s="157"/>
      <c r="D2334" s="157"/>
      <c r="E2334" s="157"/>
      <c r="F2334" s="157"/>
    </row>
    <row r="2335" spans="1:6" ht="15.75" x14ac:dyDescent="0.25">
      <c r="A2335" s="157"/>
      <c r="B2335" s="157"/>
      <c r="C2335" s="157"/>
      <c r="D2335" s="157"/>
      <c r="E2335" s="157"/>
      <c r="F2335" s="157"/>
    </row>
    <row r="2336" spans="1:6" ht="15.75" x14ac:dyDescent="0.25">
      <c r="A2336" s="157"/>
      <c r="B2336" s="157"/>
      <c r="C2336" s="157"/>
      <c r="D2336" s="157"/>
      <c r="E2336" s="157"/>
      <c r="F2336" s="157"/>
    </row>
    <row r="2337" spans="1:6" ht="15.75" x14ac:dyDescent="0.25">
      <c r="A2337" s="157"/>
      <c r="B2337" s="157"/>
      <c r="C2337" s="157"/>
      <c r="D2337" s="157"/>
      <c r="E2337" s="157"/>
      <c r="F2337" s="157"/>
    </row>
    <row r="2338" spans="1:6" ht="15.75" x14ac:dyDescent="0.25">
      <c r="A2338" s="157"/>
      <c r="B2338" s="157"/>
      <c r="C2338" s="157"/>
      <c r="D2338" s="157"/>
      <c r="E2338" s="157"/>
      <c r="F2338" s="157"/>
    </row>
    <row r="2339" spans="1:6" ht="15.75" x14ac:dyDescent="0.25">
      <c r="A2339" s="157"/>
      <c r="B2339" s="157"/>
      <c r="C2339" s="157"/>
      <c r="D2339" s="157"/>
      <c r="E2339" s="157"/>
      <c r="F2339" s="157"/>
    </row>
    <row r="2340" spans="1:6" ht="15.75" x14ac:dyDescent="0.25">
      <c r="A2340" s="157"/>
      <c r="B2340" s="157"/>
      <c r="C2340" s="157"/>
      <c r="D2340" s="157"/>
      <c r="E2340" s="157"/>
      <c r="F2340" s="157"/>
    </row>
    <row r="2341" spans="1:6" ht="15.75" x14ac:dyDescent="0.25">
      <c r="A2341" s="157"/>
      <c r="B2341" s="157"/>
      <c r="C2341" s="157"/>
      <c r="D2341" s="157"/>
      <c r="E2341" s="157"/>
      <c r="F2341" s="157"/>
    </row>
    <row r="2342" spans="1:6" ht="15.75" x14ac:dyDescent="0.25">
      <c r="A2342" s="157"/>
      <c r="B2342" s="157"/>
      <c r="C2342" s="157"/>
      <c r="D2342" s="157"/>
      <c r="E2342" s="157"/>
      <c r="F2342" s="157"/>
    </row>
    <row r="2343" spans="1:6" ht="15.75" x14ac:dyDescent="0.25">
      <c r="A2343" s="157"/>
      <c r="B2343" s="157"/>
      <c r="C2343" s="157"/>
      <c r="D2343" s="157"/>
      <c r="E2343" s="157"/>
      <c r="F2343" s="157"/>
    </row>
    <row r="2344" spans="1:6" ht="15.75" x14ac:dyDescent="0.25">
      <c r="A2344" s="157"/>
      <c r="B2344" s="157"/>
      <c r="C2344" s="157"/>
      <c r="D2344" s="157"/>
      <c r="E2344" s="157"/>
      <c r="F2344" s="157"/>
    </row>
    <row r="2345" spans="1:6" ht="15.75" x14ac:dyDescent="0.25">
      <c r="A2345" s="157"/>
      <c r="B2345" s="157"/>
      <c r="C2345" s="157"/>
      <c r="D2345" s="157"/>
      <c r="E2345" s="157"/>
      <c r="F2345" s="157"/>
    </row>
    <row r="2346" spans="1:6" ht="15.75" x14ac:dyDescent="0.25">
      <c r="A2346" s="157"/>
      <c r="B2346" s="157"/>
      <c r="C2346" s="157"/>
      <c r="D2346" s="157"/>
      <c r="E2346" s="157"/>
      <c r="F2346" s="157"/>
    </row>
    <row r="2347" spans="1:6" ht="15.75" x14ac:dyDescent="0.25">
      <c r="A2347" s="157"/>
      <c r="B2347" s="157"/>
      <c r="C2347" s="157"/>
      <c r="D2347" s="157"/>
      <c r="E2347" s="157"/>
      <c r="F2347" s="157"/>
    </row>
    <row r="2348" spans="1:6" ht="15.75" x14ac:dyDescent="0.25">
      <c r="A2348" s="157"/>
      <c r="B2348" s="157"/>
      <c r="C2348" s="157"/>
      <c r="D2348" s="157"/>
      <c r="E2348" s="157"/>
      <c r="F2348" s="157"/>
    </row>
    <row r="2349" spans="1:6" ht="15.75" x14ac:dyDescent="0.25">
      <c r="A2349" s="157"/>
      <c r="B2349" s="157"/>
      <c r="C2349" s="157"/>
      <c r="D2349" s="157"/>
      <c r="E2349" s="157"/>
      <c r="F2349" s="157"/>
    </row>
    <row r="2350" spans="1:6" ht="15.75" x14ac:dyDescent="0.25">
      <c r="A2350" s="157"/>
      <c r="B2350" s="157"/>
      <c r="C2350" s="157"/>
      <c r="D2350" s="157"/>
      <c r="E2350" s="157"/>
      <c r="F2350" s="157"/>
    </row>
    <row r="2351" spans="1:6" ht="15.75" x14ac:dyDescent="0.25">
      <c r="A2351" s="157"/>
      <c r="B2351" s="157"/>
      <c r="C2351" s="157"/>
      <c r="D2351" s="157"/>
      <c r="E2351" s="157"/>
      <c r="F2351" s="157"/>
    </row>
    <row r="2352" spans="1:6" ht="15.75" x14ac:dyDescent="0.25">
      <c r="A2352" s="157"/>
      <c r="B2352" s="157"/>
      <c r="C2352" s="157"/>
      <c r="D2352" s="157"/>
      <c r="E2352" s="157"/>
      <c r="F2352" s="157"/>
    </row>
    <row r="2353" spans="1:6" ht="15.75" x14ac:dyDescent="0.25">
      <c r="A2353" s="157"/>
      <c r="B2353" s="157"/>
      <c r="C2353" s="157"/>
      <c r="D2353" s="157"/>
      <c r="E2353" s="157"/>
      <c r="F2353" s="157"/>
    </row>
    <row r="2354" spans="1:6" ht="15.75" x14ac:dyDescent="0.25">
      <c r="A2354" s="157"/>
      <c r="B2354" s="157"/>
      <c r="C2354" s="157"/>
      <c r="D2354" s="157"/>
      <c r="E2354" s="157"/>
      <c r="F2354" s="157"/>
    </row>
    <row r="2355" spans="1:6" ht="15.75" x14ac:dyDescent="0.25">
      <c r="A2355" s="157"/>
      <c r="B2355" s="157"/>
      <c r="C2355" s="157"/>
      <c r="D2355" s="157"/>
      <c r="E2355" s="157"/>
      <c r="F2355" s="157"/>
    </row>
    <row r="2356" spans="1:6" ht="15.75" x14ac:dyDescent="0.25">
      <c r="A2356" s="157"/>
      <c r="B2356" s="157"/>
      <c r="C2356" s="157"/>
      <c r="D2356" s="157"/>
      <c r="E2356" s="157"/>
      <c r="F2356" s="157"/>
    </row>
    <row r="2357" spans="1:6" ht="15.75" x14ac:dyDescent="0.25">
      <c r="A2357" s="157"/>
      <c r="B2357" s="157"/>
      <c r="C2357" s="157"/>
      <c r="D2357" s="157"/>
      <c r="E2357" s="157"/>
      <c r="F2357" s="157"/>
    </row>
    <row r="2358" spans="1:6" ht="15.75" x14ac:dyDescent="0.25">
      <c r="A2358" s="157"/>
      <c r="B2358" s="157"/>
      <c r="C2358" s="157"/>
      <c r="D2358" s="157"/>
      <c r="E2358" s="157"/>
      <c r="F2358" s="157"/>
    </row>
    <row r="2359" spans="1:6" ht="15.75" x14ac:dyDescent="0.25">
      <c r="A2359" s="157"/>
      <c r="B2359" s="157"/>
      <c r="C2359" s="157"/>
      <c r="D2359" s="157"/>
      <c r="E2359" s="157"/>
      <c r="F2359" s="157"/>
    </row>
    <row r="2360" spans="1:6" ht="15.75" x14ac:dyDescent="0.25">
      <c r="A2360" s="157"/>
      <c r="B2360" s="157"/>
      <c r="C2360" s="157"/>
      <c r="D2360" s="157"/>
      <c r="E2360" s="157"/>
      <c r="F2360" s="157"/>
    </row>
    <row r="2361" spans="1:6" ht="15.75" x14ac:dyDescent="0.25">
      <c r="A2361" s="157"/>
      <c r="B2361" s="157"/>
      <c r="C2361" s="157"/>
      <c r="D2361" s="157"/>
      <c r="E2361" s="157"/>
      <c r="F2361" s="157"/>
    </row>
    <row r="2362" spans="1:6" ht="15.75" x14ac:dyDescent="0.25">
      <c r="A2362" s="157"/>
      <c r="B2362" s="157"/>
      <c r="C2362" s="157"/>
      <c r="D2362" s="157"/>
      <c r="E2362" s="157"/>
      <c r="F2362" s="157"/>
    </row>
    <row r="2363" spans="1:6" ht="15.75" x14ac:dyDescent="0.25">
      <c r="A2363" s="157"/>
      <c r="B2363" s="157"/>
      <c r="C2363" s="157"/>
      <c r="D2363" s="157"/>
      <c r="E2363" s="157"/>
      <c r="F2363" s="157"/>
    </row>
    <row r="2364" spans="1:6" ht="15.75" x14ac:dyDescent="0.25">
      <c r="A2364" s="157"/>
      <c r="B2364" s="157"/>
      <c r="C2364" s="157"/>
      <c r="D2364" s="157"/>
      <c r="E2364" s="157"/>
      <c r="F2364" s="157"/>
    </row>
    <row r="2365" spans="1:6" ht="15.75" x14ac:dyDescent="0.25">
      <c r="A2365" s="157"/>
      <c r="B2365" s="157"/>
      <c r="C2365" s="157"/>
      <c r="D2365" s="157"/>
      <c r="E2365" s="157"/>
      <c r="F2365" s="157"/>
    </row>
    <row r="2366" spans="1:6" ht="15.75" x14ac:dyDescent="0.25">
      <c r="A2366" s="157"/>
      <c r="B2366" s="157"/>
      <c r="C2366" s="157"/>
      <c r="D2366" s="157"/>
      <c r="E2366" s="157"/>
      <c r="F2366" s="157"/>
    </row>
    <row r="2367" spans="1:6" ht="15.75" x14ac:dyDescent="0.25">
      <c r="A2367" s="157"/>
      <c r="B2367" s="157"/>
      <c r="C2367" s="157"/>
      <c r="D2367" s="157"/>
      <c r="E2367" s="157"/>
      <c r="F2367" s="157"/>
    </row>
    <row r="2368" spans="1:6" ht="15.75" x14ac:dyDescent="0.25">
      <c r="A2368" s="157"/>
      <c r="B2368" s="157"/>
      <c r="C2368" s="157"/>
      <c r="D2368" s="157"/>
      <c r="E2368" s="157"/>
      <c r="F2368" s="157"/>
    </row>
    <row r="2369" spans="1:6" ht="15.75" x14ac:dyDescent="0.25">
      <c r="A2369" s="157"/>
      <c r="B2369" s="157"/>
      <c r="C2369" s="157"/>
      <c r="D2369" s="157"/>
      <c r="E2369" s="157"/>
      <c r="F2369" s="157"/>
    </row>
    <row r="2370" spans="1:6" ht="15.75" x14ac:dyDescent="0.25">
      <c r="A2370" s="157"/>
      <c r="B2370" s="157"/>
      <c r="C2370" s="157"/>
      <c r="D2370" s="157"/>
      <c r="E2370" s="157"/>
      <c r="F2370" s="157"/>
    </row>
    <row r="2371" spans="1:6" ht="15.75" x14ac:dyDescent="0.25">
      <c r="A2371" s="157"/>
      <c r="B2371" s="157"/>
      <c r="C2371" s="157"/>
      <c r="D2371" s="157"/>
      <c r="E2371" s="157"/>
      <c r="F2371" s="157"/>
    </row>
    <row r="2372" spans="1:6" ht="15.75" x14ac:dyDescent="0.25">
      <c r="A2372" s="157"/>
      <c r="B2372" s="157"/>
      <c r="C2372" s="157"/>
      <c r="D2372" s="157"/>
      <c r="E2372" s="157"/>
      <c r="F2372" s="157"/>
    </row>
    <row r="2373" spans="1:6" ht="15.75" x14ac:dyDescent="0.25">
      <c r="A2373" s="157"/>
      <c r="B2373" s="157"/>
      <c r="C2373" s="157"/>
      <c r="D2373" s="157"/>
      <c r="E2373" s="157"/>
      <c r="F2373" s="157"/>
    </row>
    <row r="2374" spans="1:6" ht="15.75" x14ac:dyDescent="0.25">
      <c r="A2374" s="157"/>
      <c r="B2374" s="157"/>
      <c r="C2374" s="157"/>
      <c r="D2374" s="157"/>
      <c r="E2374" s="157"/>
      <c r="F2374" s="157"/>
    </row>
    <row r="2375" spans="1:6" ht="15.75" x14ac:dyDescent="0.25">
      <c r="A2375" s="157"/>
      <c r="B2375" s="157"/>
      <c r="C2375" s="157"/>
      <c r="D2375" s="157"/>
      <c r="E2375" s="157"/>
      <c r="F2375" s="157"/>
    </row>
    <row r="2376" spans="1:6" ht="15.75" x14ac:dyDescent="0.25">
      <c r="A2376" s="157"/>
      <c r="B2376" s="157"/>
      <c r="C2376" s="157"/>
      <c r="D2376" s="157"/>
      <c r="E2376" s="157"/>
      <c r="F2376" s="157"/>
    </row>
    <row r="2377" spans="1:6" ht="15.75" x14ac:dyDescent="0.25">
      <c r="A2377" s="157"/>
      <c r="B2377" s="157"/>
      <c r="C2377" s="157"/>
      <c r="D2377" s="157"/>
      <c r="E2377" s="157"/>
      <c r="F2377" s="157"/>
    </row>
    <row r="2378" spans="1:6" ht="15.75" x14ac:dyDescent="0.25">
      <c r="A2378" s="157"/>
      <c r="B2378" s="157"/>
      <c r="C2378" s="157"/>
      <c r="D2378" s="157"/>
      <c r="E2378" s="157"/>
      <c r="F2378" s="157"/>
    </row>
    <row r="2379" spans="1:6" ht="15.75" x14ac:dyDescent="0.25">
      <c r="A2379" s="157"/>
      <c r="B2379" s="157"/>
      <c r="C2379" s="157"/>
      <c r="D2379" s="157"/>
      <c r="E2379" s="157"/>
      <c r="F2379" s="157"/>
    </row>
    <row r="2380" spans="1:6" ht="15.75" x14ac:dyDescent="0.25">
      <c r="A2380" s="157"/>
      <c r="B2380" s="157"/>
      <c r="C2380" s="157"/>
      <c r="D2380" s="157"/>
      <c r="E2380" s="157"/>
      <c r="F2380" s="157"/>
    </row>
    <row r="2381" spans="1:6" ht="15.75" x14ac:dyDescent="0.25">
      <c r="A2381" s="157"/>
      <c r="B2381" s="157"/>
      <c r="C2381" s="157"/>
      <c r="D2381" s="157"/>
      <c r="E2381" s="157"/>
      <c r="F2381" s="157"/>
    </row>
    <row r="2382" spans="1:6" ht="15.75" x14ac:dyDescent="0.25">
      <c r="A2382" s="157"/>
      <c r="B2382" s="157"/>
      <c r="C2382" s="157"/>
      <c r="D2382" s="157"/>
      <c r="E2382" s="157"/>
      <c r="F2382" s="157"/>
    </row>
    <row r="2383" spans="1:6" ht="15.75" x14ac:dyDescent="0.25">
      <c r="A2383" s="157"/>
      <c r="B2383" s="157"/>
      <c r="C2383" s="157"/>
      <c r="D2383" s="157"/>
      <c r="E2383" s="157"/>
      <c r="F2383" s="157"/>
    </row>
    <row r="2384" spans="1:6" ht="15.75" x14ac:dyDescent="0.25">
      <c r="A2384" s="157"/>
      <c r="B2384" s="157"/>
      <c r="C2384" s="157"/>
      <c r="D2384" s="157"/>
      <c r="E2384" s="157"/>
      <c r="F2384" s="157"/>
    </row>
    <row r="2385" spans="1:6" ht="15.75" x14ac:dyDescent="0.25">
      <c r="A2385" s="157"/>
      <c r="B2385" s="157"/>
      <c r="C2385" s="157"/>
      <c r="D2385" s="157"/>
      <c r="E2385" s="157"/>
      <c r="F2385" s="157"/>
    </row>
    <row r="2386" spans="1:6" ht="15.75" x14ac:dyDescent="0.25">
      <c r="A2386" s="157"/>
      <c r="B2386" s="157"/>
      <c r="C2386" s="157"/>
      <c r="D2386" s="157"/>
      <c r="E2386" s="157"/>
      <c r="F2386" s="157"/>
    </row>
    <row r="2387" spans="1:6" ht="15.75" x14ac:dyDescent="0.25">
      <c r="A2387" s="157"/>
      <c r="B2387" s="157"/>
      <c r="C2387" s="157"/>
      <c r="D2387" s="157"/>
      <c r="E2387" s="157"/>
      <c r="F2387" s="157"/>
    </row>
    <row r="2388" spans="1:6" ht="15.75" x14ac:dyDescent="0.25">
      <c r="A2388" s="157"/>
      <c r="B2388" s="157"/>
      <c r="C2388" s="157"/>
      <c r="D2388" s="157"/>
      <c r="E2388" s="157"/>
      <c r="F2388" s="157"/>
    </row>
    <row r="2389" spans="1:6" ht="15.75" x14ac:dyDescent="0.25">
      <c r="A2389" s="157"/>
      <c r="B2389" s="157"/>
      <c r="C2389" s="157"/>
      <c r="D2389" s="157"/>
      <c r="E2389" s="157"/>
      <c r="F2389" s="157"/>
    </row>
    <row r="2390" spans="1:6" ht="15.75" x14ac:dyDescent="0.25">
      <c r="A2390" s="157"/>
      <c r="B2390" s="157"/>
      <c r="C2390" s="157"/>
      <c r="D2390" s="157"/>
      <c r="E2390" s="157"/>
      <c r="F2390" s="157"/>
    </row>
    <row r="2391" spans="1:6" ht="15.75" x14ac:dyDescent="0.25">
      <c r="A2391" s="157"/>
      <c r="B2391" s="157"/>
      <c r="C2391" s="157"/>
      <c r="D2391" s="157"/>
      <c r="E2391" s="157"/>
      <c r="F2391" s="157"/>
    </row>
    <row r="2392" spans="1:6" ht="15.75" x14ac:dyDescent="0.25">
      <c r="A2392" s="157"/>
      <c r="B2392" s="157"/>
      <c r="C2392" s="157"/>
      <c r="D2392" s="157"/>
      <c r="E2392" s="157"/>
      <c r="F2392" s="157"/>
    </row>
    <row r="2393" spans="1:6" ht="15.75" x14ac:dyDescent="0.25">
      <c r="A2393" s="157"/>
      <c r="B2393" s="157"/>
      <c r="C2393" s="157"/>
      <c r="D2393" s="157"/>
      <c r="E2393" s="157"/>
      <c r="F2393" s="157"/>
    </row>
    <row r="2394" spans="1:6" ht="15.75" x14ac:dyDescent="0.25">
      <c r="A2394" s="157"/>
      <c r="B2394" s="157"/>
      <c r="C2394" s="157"/>
      <c r="D2394" s="157"/>
      <c r="E2394" s="157"/>
      <c r="F2394" s="157"/>
    </row>
    <row r="2395" spans="1:6" ht="15.75" x14ac:dyDescent="0.25">
      <c r="A2395" s="157"/>
      <c r="B2395" s="157"/>
      <c r="C2395" s="157"/>
      <c r="D2395" s="157"/>
      <c r="E2395" s="157"/>
      <c r="F2395" s="157"/>
    </row>
    <row r="2396" spans="1:6" ht="15.75" x14ac:dyDescent="0.25">
      <c r="A2396" s="157"/>
      <c r="B2396" s="157"/>
      <c r="C2396" s="157"/>
      <c r="D2396" s="157"/>
      <c r="E2396" s="157"/>
      <c r="F2396" s="157"/>
    </row>
    <row r="2397" spans="1:6" ht="15.75" x14ac:dyDescent="0.25">
      <c r="A2397" s="157"/>
      <c r="B2397" s="157"/>
      <c r="C2397" s="157"/>
      <c r="D2397" s="157"/>
      <c r="E2397" s="157"/>
      <c r="F2397" s="157"/>
    </row>
    <row r="2398" spans="1:6" ht="15.75" x14ac:dyDescent="0.25">
      <c r="A2398" s="157"/>
      <c r="B2398" s="157"/>
      <c r="C2398" s="157"/>
      <c r="D2398" s="157"/>
      <c r="E2398" s="157"/>
      <c r="F2398" s="157"/>
    </row>
    <row r="2399" spans="1:6" ht="15.75" x14ac:dyDescent="0.25">
      <c r="A2399" s="157"/>
      <c r="B2399" s="157"/>
      <c r="C2399" s="157"/>
      <c r="D2399" s="157"/>
      <c r="E2399" s="157"/>
      <c r="F2399" s="157"/>
    </row>
    <row r="2400" spans="1:6" ht="15.75" x14ac:dyDescent="0.25">
      <c r="A2400" s="157"/>
      <c r="B2400" s="157"/>
      <c r="C2400" s="157"/>
      <c r="D2400" s="157"/>
      <c r="E2400" s="157"/>
      <c r="F2400" s="157"/>
    </row>
    <row r="2401" spans="1:6" ht="15.75" x14ac:dyDescent="0.25">
      <c r="A2401" s="157"/>
      <c r="B2401" s="157"/>
      <c r="C2401" s="157"/>
      <c r="D2401" s="157"/>
      <c r="E2401" s="157"/>
      <c r="F2401" s="157"/>
    </row>
    <row r="2402" spans="1:6" ht="15.75" x14ac:dyDescent="0.25">
      <c r="A2402" s="157"/>
      <c r="B2402" s="157"/>
      <c r="C2402" s="157"/>
      <c r="D2402" s="157"/>
      <c r="E2402" s="157"/>
      <c r="F2402" s="157"/>
    </row>
    <row r="2403" spans="1:6" ht="15.75" x14ac:dyDescent="0.25">
      <c r="A2403" s="157"/>
      <c r="B2403" s="157"/>
      <c r="C2403" s="157"/>
      <c r="D2403" s="157"/>
      <c r="E2403" s="157"/>
      <c r="F2403" s="157"/>
    </row>
    <row r="2404" spans="1:6" ht="15.75" x14ac:dyDescent="0.25">
      <c r="A2404" s="157"/>
      <c r="B2404" s="157"/>
      <c r="C2404" s="157"/>
      <c r="D2404" s="157"/>
      <c r="E2404" s="157"/>
      <c r="F2404" s="157"/>
    </row>
    <row r="2405" spans="1:6" ht="15.75" x14ac:dyDescent="0.25">
      <c r="A2405" s="157"/>
      <c r="B2405" s="157"/>
      <c r="C2405" s="157"/>
      <c r="D2405" s="157"/>
      <c r="E2405" s="157"/>
      <c r="F2405" s="157"/>
    </row>
    <row r="2406" spans="1:6" ht="15.75" x14ac:dyDescent="0.25">
      <c r="A2406" s="157"/>
      <c r="B2406" s="157"/>
      <c r="C2406" s="157"/>
      <c r="D2406" s="157"/>
      <c r="E2406" s="157"/>
      <c r="F2406" s="157"/>
    </row>
    <row r="2407" spans="1:6" ht="15.75" x14ac:dyDescent="0.25">
      <c r="A2407" s="157"/>
      <c r="B2407" s="157"/>
      <c r="C2407" s="157"/>
      <c r="D2407" s="157"/>
      <c r="E2407" s="157"/>
      <c r="F2407" s="157"/>
    </row>
    <row r="2408" spans="1:6" ht="15.75" x14ac:dyDescent="0.25">
      <c r="A2408" s="157"/>
      <c r="B2408" s="157"/>
      <c r="C2408" s="157"/>
      <c r="D2408" s="157"/>
      <c r="E2408" s="157"/>
      <c r="F2408" s="157"/>
    </row>
    <row r="2409" spans="1:6" ht="15.75" x14ac:dyDescent="0.25">
      <c r="A2409" s="157"/>
      <c r="B2409" s="157"/>
      <c r="C2409" s="157"/>
      <c r="D2409" s="157"/>
      <c r="E2409" s="157"/>
      <c r="F2409" s="157"/>
    </row>
    <row r="2410" spans="1:6" ht="15.75" x14ac:dyDescent="0.25">
      <c r="A2410" s="157"/>
      <c r="B2410" s="157"/>
      <c r="C2410" s="157"/>
      <c r="D2410" s="157"/>
      <c r="E2410" s="157"/>
      <c r="F2410" s="157"/>
    </row>
    <row r="2411" spans="1:6" ht="15.75" x14ac:dyDescent="0.25">
      <c r="A2411" s="157"/>
      <c r="B2411" s="157"/>
      <c r="C2411" s="157"/>
      <c r="D2411" s="157"/>
      <c r="E2411" s="157"/>
      <c r="F2411" s="157"/>
    </row>
    <row r="2412" spans="1:6" ht="15.75" x14ac:dyDescent="0.25">
      <c r="A2412" s="157"/>
      <c r="B2412" s="157"/>
      <c r="C2412" s="157"/>
      <c r="D2412" s="157"/>
      <c r="E2412" s="157"/>
      <c r="F2412" s="157"/>
    </row>
    <row r="2413" spans="1:6" ht="15.75" x14ac:dyDescent="0.25">
      <c r="A2413" s="157"/>
      <c r="B2413" s="157"/>
      <c r="C2413" s="157"/>
      <c r="D2413" s="157"/>
      <c r="E2413" s="157"/>
      <c r="F2413" s="157"/>
    </row>
    <row r="2414" spans="1:6" ht="15.75" x14ac:dyDescent="0.25">
      <c r="A2414" s="157"/>
      <c r="B2414" s="157"/>
      <c r="C2414" s="157"/>
      <c r="D2414" s="157"/>
      <c r="E2414" s="157"/>
      <c r="F2414" s="157"/>
    </row>
    <row r="2415" spans="1:6" ht="15.75" x14ac:dyDescent="0.25">
      <c r="A2415" s="157"/>
      <c r="B2415" s="157"/>
      <c r="C2415" s="157"/>
      <c r="D2415" s="157"/>
      <c r="E2415" s="157"/>
      <c r="F2415" s="157"/>
    </row>
    <row r="2416" spans="1:6" ht="15.75" x14ac:dyDescent="0.25">
      <c r="A2416" s="157"/>
      <c r="B2416" s="157"/>
      <c r="C2416" s="157"/>
      <c r="D2416" s="157"/>
      <c r="E2416" s="157"/>
      <c r="F2416" s="157"/>
    </row>
    <row r="2417" spans="1:6" ht="15.75" x14ac:dyDescent="0.25">
      <c r="A2417" s="157"/>
      <c r="B2417" s="157"/>
      <c r="C2417" s="157"/>
      <c r="D2417" s="157"/>
      <c r="E2417" s="157"/>
      <c r="F2417" s="157"/>
    </row>
    <row r="2418" spans="1:6" ht="15.75" x14ac:dyDescent="0.25">
      <c r="A2418" s="157"/>
      <c r="B2418" s="157"/>
      <c r="C2418" s="157"/>
      <c r="D2418" s="157"/>
      <c r="E2418" s="157"/>
      <c r="F2418" s="157"/>
    </row>
    <row r="2419" spans="1:6" ht="15.75" x14ac:dyDescent="0.25">
      <c r="A2419" s="157"/>
      <c r="B2419" s="157"/>
      <c r="C2419" s="157"/>
      <c r="D2419" s="157"/>
      <c r="E2419" s="157"/>
      <c r="F2419" s="157"/>
    </row>
    <row r="2420" spans="1:6" ht="15.75" x14ac:dyDescent="0.25">
      <c r="A2420" s="157"/>
      <c r="B2420" s="157"/>
      <c r="C2420" s="157"/>
      <c r="D2420" s="157"/>
      <c r="E2420" s="157"/>
      <c r="F2420" s="157"/>
    </row>
    <row r="2421" spans="1:6" ht="15.75" x14ac:dyDescent="0.25">
      <c r="A2421" s="157"/>
      <c r="B2421" s="157"/>
      <c r="C2421" s="157"/>
      <c r="D2421" s="157"/>
      <c r="E2421" s="157"/>
      <c r="F2421" s="157"/>
    </row>
    <row r="2422" spans="1:6" ht="15.75" x14ac:dyDescent="0.25">
      <c r="A2422" s="157"/>
      <c r="B2422" s="157"/>
      <c r="C2422" s="157"/>
      <c r="D2422" s="157"/>
      <c r="E2422" s="157"/>
      <c r="F2422" s="157"/>
    </row>
    <row r="2423" spans="1:6" ht="15.75" x14ac:dyDescent="0.25">
      <c r="A2423" s="157"/>
      <c r="B2423" s="157"/>
      <c r="C2423" s="157"/>
      <c r="D2423" s="157"/>
      <c r="E2423" s="157"/>
      <c r="F2423" s="157"/>
    </row>
    <row r="2424" spans="1:6" ht="15.75" x14ac:dyDescent="0.25">
      <c r="A2424" s="157"/>
      <c r="B2424" s="157"/>
      <c r="C2424" s="157"/>
      <c r="D2424" s="157"/>
      <c r="E2424" s="157"/>
      <c r="F2424" s="157"/>
    </row>
    <row r="2425" spans="1:6" ht="15.75" x14ac:dyDescent="0.25">
      <c r="A2425" s="157"/>
      <c r="B2425" s="157"/>
      <c r="C2425" s="157"/>
      <c r="D2425" s="157"/>
      <c r="E2425" s="157"/>
      <c r="F2425" s="157"/>
    </row>
    <row r="2426" spans="1:6" ht="15.75" x14ac:dyDescent="0.25">
      <c r="A2426" s="157"/>
      <c r="B2426" s="157"/>
      <c r="C2426" s="157"/>
      <c r="D2426" s="157"/>
      <c r="E2426" s="157"/>
      <c r="F2426" s="157"/>
    </row>
    <row r="2427" spans="1:6" ht="15.75" x14ac:dyDescent="0.25">
      <c r="A2427" s="157"/>
      <c r="B2427" s="157"/>
      <c r="C2427" s="157"/>
      <c r="D2427" s="157"/>
      <c r="E2427" s="157"/>
      <c r="F2427" s="157"/>
    </row>
    <row r="2428" spans="1:6" ht="15.75" x14ac:dyDescent="0.25">
      <c r="A2428" s="157"/>
      <c r="B2428" s="157"/>
      <c r="C2428" s="157"/>
      <c r="D2428" s="157"/>
      <c r="E2428" s="157"/>
      <c r="F2428" s="157"/>
    </row>
    <row r="2429" spans="1:6" ht="15.75" x14ac:dyDescent="0.25">
      <c r="A2429" s="157"/>
      <c r="B2429" s="157"/>
      <c r="C2429" s="157"/>
      <c r="D2429" s="157"/>
      <c r="E2429" s="157"/>
      <c r="F2429" s="157"/>
    </row>
    <row r="2430" spans="1:6" ht="15.75" x14ac:dyDescent="0.25">
      <c r="A2430" s="157"/>
      <c r="B2430" s="157"/>
      <c r="C2430" s="157"/>
      <c r="D2430" s="157"/>
      <c r="E2430" s="157"/>
      <c r="F2430" s="157"/>
    </row>
    <row r="2431" spans="1:6" ht="15.75" x14ac:dyDescent="0.25">
      <c r="A2431" s="157"/>
      <c r="B2431" s="157"/>
      <c r="C2431" s="157"/>
      <c r="D2431" s="157"/>
      <c r="E2431" s="157"/>
      <c r="F2431" s="157"/>
    </row>
    <row r="2432" spans="1:6" ht="15.75" x14ac:dyDescent="0.25">
      <c r="A2432" s="157"/>
      <c r="B2432" s="157"/>
      <c r="C2432" s="157"/>
      <c r="D2432" s="157"/>
      <c r="E2432" s="157"/>
      <c r="F2432" s="157"/>
    </row>
    <row r="2433" spans="1:6" ht="15.75" x14ac:dyDescent="0.25">
      <c r="A2433" s="157"/>
      <c r="B2433" s="157"/>
      <c r="C2433" s="157"/>
      <c r="D2433" s="157"/>
      <c r="E2433" s="157"/>
      <c r="F2433" s="157"/>
    </row>
    <row r="2434" spans="1:6" ht="15.75" x14ac:dyDescent="0.25">
      <c r="A2434" s="157"/>
      <c r="B2434" s="157"/>
      <c r="C2434" s="157"/>
      <c r="D2434" s="157"/>
      <c r="E2434" s="157"/>
      <c r="F2434" s="157"/>
    </row>
    <row r="2435" spans="1:6" ht="15.75" x14ac:dyDescent="0.25">
      <c r="A2435" s="157"/>
      <c r="B2435" s="157"/>
      <c r="C2435" s="157"/>
      <c r="D2435" s="157"/>
      <c r="E2435" s="157"/>
      <c r="F2435" s="157"/>
    </row>
    <row r="2436" spans="1:6" ht="15.75" x14ac:dyDescent="0.25">
      <c r="A2436" s="157"/>
      <c r="B2436" s="157"/>
      <c r="C2436" s="157"/>
      <c r="D2436" s="157"/>
      <c r="E2436" s="157"/>
      <c r="F2436" s="157"/>
    </row>
    <row r="2437" spans="1:6" ht="15.75" x14ac:dyDescent="0.25">
      <c r="A2437" s="157"/>
      <c r="B2437" s="157"/>
      <c r="C2437" s="157"/>
      <c r="D2437" s="157"/>
      <c r="E2437" s="157"/>
      <c r="F2437" s="157"/>
    </row>
    <row r="2438" spans="1:6" ht="15.75" x14ac:dyDescent="0.25">
      <c r="A2438" s="157"/>
      <c r="B2438" s="157"/>
      <c r="C2438" s="157"/>
      <c r="D2438" s="157"/>
      <c r="E2438" s="157"/>
      <c r="F2438" s="157"/>
    </row>
    <row r="2439" spans="1:6" ht="15.75" x14ac:dyDescent="0.25">
      <c r="A2439" s="157"/>
      <c r="B2439" s="157"/>
      <c r="C2439" s="157"/>
      <c r="D2439" s="157"/>
      <c r="E2439" s="157"/>
      <c r="F2439" s="157"/>
    </row>
    <row r="2440" spans="1:6" ht="15.75" x14ac:dyDescent="0.25">
      <c r="A2440" s="157"/>
      <c r="B2440" s="157"/>
      <c r="C2440" s="157"/>
      <c r="D2440" s="157"/>
      <c r="E2440" s="157"/>
      <c r="F2440" s="157"/>
    </row>
    <row r="2441" spans="1:6" ht="15.75" x14ac:dyDescent="0.25">
      <c r="A2441" s="157"/>
      <c r="B2441" s="157"/>
      <c r="C2441" s="157"/>
      <c r="D2441" s="157"/>
      <c r="E2441" s="157"/>
      <c r="F2441" s="157"/>
    </row>
    <row r="2442" spans="1:6" ht="15.75" x14ac:dyDescent="0.25">
      <c r="A2442" s="157"/>
      <c r="B2442" s="157"/>
      <c r="C2442" s="157"/>
      <c r="D2442" s="157"/>
      <c r="E2442" s="157"/>
      <c r="F2442" s="157"/>
    </row>
    <row r="2443" spans="1:6" ht="15.75" x14ac:dyDescent="0.25">
      <c r="A2443" s="157"/>
      <c r="B2443" s="157"/>
      <c r="C2443" s="157"/>
      <c r="D2443" s="157"/>
      <c r="E2443" s="157"/>
      <c r="F2443" s="157"/>
    </row>
    <row r="2444" spans="1:6" ht="15.75" x14ac:dyDescent="0.25">
      <c r="A2444" s="157"/>
      <c r="B2444" s="157"/>
      <c r="C2444" s="157"/>
      <c r="D2444" s="157"/>
      <c r="E2444" s="157"/>
      <c r="F2444" s="157"/>
    </row>
    <row r="2445" spans="1:6" ht="15.75" x14ac:dyDescent="0.25">
      <c r="A2445" s="157"/>
      <c r="B2445" s="157"/>
      <c r="C2445" s="157"/>
      <c r="D2445" s="157"/>
      <c r="E2445" s="157"/>
      <c r="F2445" s="157"/>
    </row>
    <row r="2446" spans="1:6" ht="15.75" x14ac:dyDescent="0.25">
      <c r="A2446" s="157"/>
      <c r="B2446" s="157"/>
      <c r="C2446" s="157"/>
      <c r="D2446" s="157"/>
      <c r="E2446" s="157"/>
      <c r="F2446" s="157"/>
    </row>
    <row r="2447" spans="1:6" ht="15.75" x14ac:dyDescent="0.25">
      <c r="A2447" s="157"/>
      <c r="B2447" s="157"/>
      <c r="C2447" s="157"/>
      <c r="D2447" s="157"/>
      <c r="E2447" s="157"/>
      <c r="F2447" s="157"/>
    </row>
    <row r="2448" spans="1:6" ht="15.75" x14ac:dyDescent="0.25">
      <c r="A2448" s="157"/>
      <c r="B2448" s="157"/>
      <c r="C2448" s="157"/>
      <c r="D2448" s="157"/>
      <c r="E2448" s="157"/>
      <c r="F2448" s="157"/>
    </row>
    <row r="2449" spans="1:6" ht="15.75" x14ac:dyDescent="0.25">
      <c r="A2449" s="157"/>
      <c r="B2449" s="157"/>
      <c r="C2449" s="157"/>
      <c r="D2449" s="157"/>
      <c r="E2449" s="157"/>
      <c r="F2449" s="157"/>
    </row>
    <row r="2450" spans="1:6" ht="15.75" x14ac:dyDescent="0.25">
      <c r="A2450" s="157"/>
      <c r="B2450" s="157"/>
      <c r="C2450" s="157"/>
      <c r="D2450" s="157"/>
      <c r="E2450" s="157"/>
      <c r="F2450" s="157"/>
    </row>
    <row r="2451" spans="1:6" ht="15.75" x14ac:dyDescent="0.25">
      <c r="A2451" s="157"/>
      <c r="B2451" s="157"/>
      <c r="C2451" s="157"/>
      <c r="D2451" s="157"/>
      <c r="E2451" s="157"/>
      <c r="F2451" s="157"/>
    </row>
    <row r="2452" spans="1:6" ht="15.75" x14ac:dyDescent="0.25">
      <c r="A2452" s="157"/>
      <c r="B2452" s="157"/>
      <c r="C2452" s="157"/>
      <c r="D2452" s="157"/>
      <c r="E2452" s="157"/>
      <c r="F2452" s="157"/>
    </row>
    <row r="2453" spans="1:6" ht="15.75" x14ac:dyDescent="0.25">
      <c r="A2453" s="157"/>
      <c r="B2453" s="157"/>
      <c r="C2453" s="157"/>
      <c r="D2453" s="157"/>
      <c r="E2453" s="157"/>
      <c r="F2453" s="157"/>
    </row>
    <row r="2454" spans="1:6" ht="15.75" x14ac:dyDescent="0.25">
      <c r="A2454" s="157"/>
      <c r="B2454" s="157"/>
      <c r="C2454" s="157"/>
      <c r="D2454" s="157"/>
      <c r="E2454" s="157"/>
      <c r="F2454" s="157"/>
    </row>
    <row r="2455" spans="1:6" ht="15.75" x14ac:dyDescent="0.25">
      <c r="A2455" s="157"/>
      <c r="B2455" s="157"/>
      <c r="C2455" s="157"/>
      <c r="D2455" s="157"/>
      <c r="E2455" s="157"/>
      <c r="F2455" s="157"/>
    </row>
    <row r="2456" spans="1:6" ht="15.75" x14ac:dyDescent="0.25">
      <c r="A2456" s="157"/>
      <c r="B2456" s="157"/>
      <c r="C2456" s="157"/>
      <c r="D2456" s="157"/>
      <c r="E2456" s="157"/>
      <c r="F2456" s="157"/>
    </row>
    <row r="2457" spans="1:6" ht="15.75" x14ac:dyDescent="0.25">
      <c r="A2457" s="157"/>
      <c r="B2457" s="157"/>
      <c r="C2457" s="157"/>
      <c r="D2457" s="157"/>
      <c r="E2457" s="157"/>
      <c r="F2457" s="157"/>
    </row>
    <row r="2458" spans="1:6" ht="15.75" x14ac:dyDescent="0.25">
      <c r="A2458" s="157"/>
      <c r="B2458" s="157"/>
      <c r="C2458" s="157"/>
      <c r="D2458" s="157"/>
      <c r="E2458" s="157"/>
      <c r="F2458" s="157"/>
    </row>
    <row r="2459" spans="1:6" ht="15.75" x14ac:dyDescent="0.25">
      <c r="A2459" s="157"/>
      <c r="B2459" s="157"/>
      <c r="C2459" s="157"/>
      <c r="D2459" s="157"/>
      <c r="E2459" s="157"/>
      <c r="F2459" s="157"/>
    </row>
    <row r="2460" spans="1:6" ht="15.75" x14ac:dyDescent="0.25">
      <c r="A2460" s="157"/>
      <c r="B2460" s="157"/>
      <c r="C2460" s="157"/>
      <c r="D2460" s="157"/>
      <c r="E2460" s="157"/>
      <c r="F2460" s="157"/>
    </row>
    <row r="2461" spans="1:6" ht="15.75" x14ac:dyDescent="0.25">
      <c r="A2461" s="157"/>
      <c r="B2461" s="157"/>
      <c r="C2461" s="157"/>
      <c r="D2461" s="157"/>
      <c r="E2461" s="157"/>
      <c r="F2461" s="157"/>
    </row>
    <row r="2462" spans="1:6" ht="15.75" x14ac:dyDescent="0.25">
      <c r="A2462" s="157"/>
      <c r="B2462" s="157"/>
      <c r="C2462" s="157"/>
      <c r="D2462" s="157"/>
      <c r="E2462" s="157"/>
      <c r="F2462" s="157"/>
    </row>
    <row r="2463" spans="1:6" ht="15.75" x14ac:dyDescent="0.25">
      <c r="A2463" s="157"/>
      <c r="B2463" s="157"/>
      <c r="C2463" s="157"/>
      <c r="D2463" s="157"/>
      <c r="E2463" s="157"/>
      <c r="F2463" s="157"/>
    </row>
    <row r="2464" spans="1:6" ht="15.75" x14ac:dyDescent="0.25">
      <c r="A2464" s="157"/>
      <c r="B2464" s="157"/>
      <c r="C2464" s="157"/>
      <c r="D2464" s="157"/>
      <c r="E2464" s="157"/>
      <c r="F2464" s="157"/>
    </row>
    <row r="2465" spans="1:6" ht="15.75" x14ac:dyDescent="0.25">
      <c r="A2465" s="157"/>
      <c r="B2465" s="157"/>
      <c r="C2465" s="157"/>
      <c r="D2465" s="157"/>
      <c r="E2465" s="157"/>
      <c r="F2465" s="157"/>
    </row>
    <row r="2466" spans="1:6" ht="15.75" x14ac:dyDescent="0.25">
      <c r="A2466" s="157"/>
      <c r="B2466" s="157"/>
      <c r="C2466" s="157"/>
      <c r="D2466" s="157"/>
      <c r="E2466" s="157"/>
      <c r="F2466" s="157"/>
    </row>
    <row r="2467" spans="1:6" ht="15.75" x14ac:dyDescent="0.25">
      <c r="A2467" s="157"/>
      <c r="B2467" s="157"/>
      <c r="C2467" s="157"/>
      <c r="D2467" s="157"/>
      <c r="E2467" s="157"/>
      <c r="F2467" s="157"/>
    </row>
    <row r="2468" spans="1:6" ht="15.75" x14ac:dyDescent="0.25">
      <c r="A2468" s="157"/>
      <c r="B2468" s="157"/>
      <c r="C2468" s="157"/>
      <c r="D2468" s="157"/>
      <c r="E2468" s="157"/>
      <c r="F2468" s="157"/>
    </row>
    <row r="2469" spans="1:6" ht="15.75" x14ac:dyDescent="0.25">
      <c r="A2469" s="157"/>
      <c r="B2469" s="157"/>
      <c r="C2469" s="157"/>
      <c r="D2469" s="157"/>
      <c r="E2469" s="157"/>
      <c r="F2469" s="157"/>
    </row>
    <row r="2470" spans="1:6" ht="15.75" x14ac:dyDescent="0.25">
      <c r="A2470" s="157"/>
      <c r="B2470" s="157"/>
      <c r="C2470" s="157"/>
      <c r="D2470" s="157"/>
      <c r="E2470" s="157"/>
      <c r="F2470" s="157"/>
    </row>
    <row r="2471" spans="1:6" ht="15.75" x14ac:dyDescent="0.25">
      <c r="A2471" s="157"/>
      <c r="B2471" s="157"/>
      <c r="C2471" s="157"/>
      <c r="D2471" s="157"/>
      <c r="E2471" s="157"/>
      <c r="F2471" s="157"/>
    </row>
    <row r="2472" spans="1:6" ht="15.75" x14ac:dyDescent="0.25">
      <c r="A2472" s="157"/>
      <c r="B2472" s="157"/>
      <c r="C2472" s="157"/>
      <c r="D2472" s="157"/>
      <c r="E2472" s="157"/>
      <c r="F2472" s="157"/>
    </row>
    <row r="2473" spans="1:6" ht="15.75" x14ac:dyDescent="0.25">
      <c r="A2473" s="157"/>
      <c r="B2473" s="157"/>
      <c r="C2473" s="157"/>
      <c r="D2473" s="157"/>
      <c r="E2473" s="157"/>
      <c r="F2473" s="157"/>
    </row>
    <row r="2474" spans="1:6" ht="15.75" x14ac:dyDescent="0.25">
      <c r="A2474" s="157"/>
      <c r="B2474" s="157"/>
      <c r="C2474" s="157"/>
      <c r="D2474" s="157"/>
      <c r="E2474" s="157"/>
      <c r="F2474" s="157"/>
    </row>
    <row r="2475" spans="1:6" ht="15.75" x14ac:dyDescent="0.25">
      <c r="A2475" s="157"/>
      <c r="B2475" s="157"/>
      <c r="C2475" s="157"/>
      <c r="D2475" s="157"/>
      <c r="E2475" s="157"/>
      <c r="F2475" s="157"/>
    </row>
    <row r="2476" spans="1:6" ht="15.75" x14ac:dyDescent="0.25">
      <c r="A2476" s="157"/>
      <c r="B2476" s="157"/>
      <c r="C2476" s="157"/>
      <c r="D2476" s="157"/>
      <c r="E2476" s="157"/>
      <c r="F2476" s="157"/>
    </row>
    <row r="2477" spans="1:6" ht="15.75" x14ac:dyDescent="0.25">
      <c r="A2477" s="157"/>
      <c r="B2477" s="157"/>
      <c r="C2477" s="157"/>
      <c r="D2477" s="157"/>
      <c r="E2477" s="157"/>
      <c r="F2477" s="157"/>
    </row>
    <row r="2478" spans="1:6" ht="15.75" x14ac:dyDescent="0.25">
      <c r="A2478" s="157"/>
      <c r="B2478" s="157"/>
      <c r="C2478" s="157"/>
      <c r="D2478" s="157"/>
      <c r="E2478" s="157"/>
      <c r="F2478" s="157"/>
    </row>
    <row r="2479" spans="1:6" ht="15.75" x14ac:dyDescent="0.25">
      <c r="A2479" s="157"/>
      <c r="B2479" s="157"/>
      <c r="C2479" s="157"/>
      <c r="D2479" s="157"/>
      <c r="E2479" s="157"/>
      <c r="F2479" s="157"/>
    </row>
    <row r="2480" spans="1:6" ht="15.75" x14ac:dyDescent="0.25">
      <c r="A2480" s="157"/>
      <c r="B2480" s="157"/>
      <c r="C2480" s="157"/>
      <c r="D2480" s="157"/>
      <c r="E2480" s="157"/>
      <c r="F2480" s="157"/>
    </row>
    <row r="2481" spans="1:6" ht="15.75" x14ac:dyDescent="0.25">
      <c r="A2481" s="157"/>
      <c r="B2481" s="157"/>
      <c r="C2481" s="157"/>
      <c r="D2481" s="157"/>
      <c r="E2481" s="157"/>
      <c r="F2481" s="157"/>
    </row>
    <row r="2482" spans="1:6" ht="15.75" x14ac:dyDescent="0.25">
      <c r="A2482" s="157"/>
      <c r="B2482" s="157"/>
      <c r="C2482" s="157"/>
      <c r="D2482" s="157"/>
      <c r="E2482" s="157"/>
      <c r="F2482" s="157"/>
    </row>
    <row r="2483" spans="1:6" ht="15.75" x14ac:dyDescent="0.25">
      <c r="A2483" s="157"/>
      <c r="B2483" s="157"/>
      <c r="C2483" s="157"/>
      <c r="D2483" s="157"/>
      <c r="E2483" s="157"/>
      <c r="F2483" s="157"/>
    </row>
    <row r="2484" spans="1:6" ht="15.75" x14ac:dyDescent="0.25">
      <c r="A2484" s="157"/>
      <c r="B2484" s="157"/>
      <c r="C2484" s="157"/>
      <c r="D2484" s="157"/>
      <c r="E2484" s="157"/>
      <c r="F2484" s="157"/>
    </row>
    <row r="2485" spans="1:6" ht="15.75" x14ac:dyDescent="0.25">
      <c r="A2485" s="157"/>
      <c r="B2485" s="157"/>
      <c r="C2485" s="157"/>
      <c r="D2485" s="157"/>
      <c r="E2485" s="157"/>
      <c r="F2485" s="157"/>
    </row>
    <row r="2486" spans="1:6" ht="15.75" x14ac:dyDescent="0.25">
      <c r="A2486" s="157"/>
      <c r="B2486" s="157"/>
      <c r="C2486" s="157"/>
      <c r="D2486" s="157"/>
      <c r="E2486" s="157"/>
      <c r="F2486" s="157"/>
    </row>
    <row r="2487" spans="1:6" ht="15.75" x14ac:dyDescent="0.25">
      <c r="A2487" s="157"/>
      <c r="B2487" s="157"/>
      <c r="C2487" s="157"/>
      <c r="D2487" s="157"/>
      <c r="E2487" s="157"/>
      <c r="F2487" s="157"/>
    </row>
    <row r="2488" spans="1:6" ht="15.75" x14ac:dyDescent="0.25">
      <c r="A2488" s="157"/>
      <c r="B2488" s="157"/>
      <c r="C2488" s="157"/>
      <c r="D2488" s="157"/>
      <c r="E2488" s="157"/>
      <c r="F2488" s="157"/>
    </row>
    <row r="2489" spans="1:6" ht="15.75" x14ac:dyDescent="0.25">
      <c r="A2489" s="157"/>
      <c r="B2489" s="157"/>
      <c r="C2489" s="157"/>
      <c r="D2489" s="157"/>
      <c r="E2489" s="157"/>
      <c r="F2489" s="157"/>
    </row>
    <row r="2490" spans="1:6" ht="15.75" x14ac:dyDescent="0.25">
      <c r="A2490" s="157"/>
      <c r="B2490" s="157"/>
      <c r="C2490" s="157"/>
      <c r="D2490" s="157"/>
      <c r="E2490" s="157"/>
      <c r="F2490" s="157"/>
    </row>
    <row r="2491" spans="1:6" ht="15.75" x14ac:dyDescent="0.25">
      <c r="A2491" s="157"/>
      <c r="B2491" s="157"/>
      <c r="C2491" s="157"/>
      <c r="D2491" s="157"/>
      <c r="E2491" s="157"/>
      <c r="F2491" s="157"/>
    </row>
    <row r="2492" spans="1:6" ht="15.75" x14ac:dyDescent="0.25">
      <c r="A2492" s="157"/>
      <c r="B2492" s="157"/>
      <c r="C2492" s="157"/>
      <c r="D2492" s="157"/>
      <c r="E2492" s="157"/>
      <c r="F2492" s="157"/>
    </row>
    <row r="2493" spans="1:6" ht="15.75" x14ac:dyDescent="0.25">
      <c r="A2493" s="157"/>
      <c r="B2493" s="157"/>
      <c r="C2493" s="157"/>
      <c r="D2493" s="157"/>
      <c r="E2493" s="157"/>
      <c r="F2493" s="157"/>
    </row>
    <row r="2494" spans="1:6" ht="15.75" x14ac:dyDescent="0.25">
      <c r="A2494" s="157"/>
      <c r="B2494" s="157"/>
      <c r="C2494" s="157"/>
      <c r="D2494" s="157"/>
      <c r="E2494" s="157"/>
      <c r="F2494" s="157"/>
    </row>
    <row r="2495" spans="1:6" ht="15.75" x14ac:dyDescent="0.25">
      <c r="A2495" s="157"/>
      <c r="B2495" s="157"/>
      <c r="C2495" s="157"/>
      <c r="D2495" s="157"/>
      <c r="E2495" s="157"/>
      <c r="F2495" s="157"/>
    </row>
    <row r="2496" spans="1:6" ht="15.75" x14ac:dyDescent="0.25">
      <c r="A2496" s="157"/>
      <c r="B2496" s="157"/>
      <c r="C2496" s="157"/>
      <c r="D2496" s="157"/>
      <c r="E2496" s="157"/>
      <c r="F2496" s="157"/>
    </row>
    <row r="2497" spans="1:6" ht="15.75" x14ac:dyDescent="0.25">
      <c r="A2497" s="157"/>
      <c r="B2497" s="157"/>
      <c r="C2497" s="157"/>
      <c r="D2497" s="157"/>
      <c r="E2497" s="157"/>
      <c r="F2497" s="157"/>
    </row>
    <row r="2498" spans="1:6" ht="15.75" x14ac:dyDescent="0.25">
      <c r="A2498" s="157"/>
      <c r="B2498" s="157"/>
      <c r="C2498" s="157"/>
      <c r="D2498" s="157"/>
      <c r="E2498" s="157"/>
      <c r="F2498" s="157"/>
    </row>
    <row r="2499" spans="1:6" ht="15.75" x14ac:dyDescent="0.25">
      <c r="A2499" s="157"/>
      <c r="B2499" s="157"/>
      <c r="C2499" s="157"/>
      <c r="D2499" s="157"/>
      <c r="E2499" s="157"/>
      <c r="F2499" s="157"/>
    </row>
    <row r="2500" spans="1:6" ht="15.75" x14ac:dyDescent="0.25">
      <c r="A2500" s="157"/>
      <c r="B2500" s="157"/>
      <c r="C2500" s="157"/>
      <c r="D2500" s="157"/>
      <c r="E2500" s="157"/>
      <c r="F2500" s="157"/>
    </row>
    <row r="2501" spans="1:6" ht="15.75" x14ac:dyDescent="0.25">
      <c r="A2501" s="157"/>
      <c r="B2501" s="157"/>
      <c r="C2501" s="157"/>
      <c r="D2501" s="157"/>
      <c r="E2501" s="157"/>
      <c r="F2501" s="157"/>
    </row>
    <row r="2502" spans="1:6" ht="15.75" x14ac:dyDescent="0.25">
      <c r="A2502" s="157"/>
      <c r="B2502" s="157"/>
      <c r="C2502" s="157"/>
      <c r="D2502" s="157"/>
      <c r="E2502" s="157"/>
      <c r="F2502" s="157"/>
    </row>
    <row r="2503" spans="1:6" ht="15.75" x14ac:dyDescent="0.25">
      <c r="A2503" s="157"/>
      <c r="B2503" s="157"/>
      <c r="C2503" s="157"/>
      <c r="D2503" s="157"/>
      <c r="E2503" s="157"/>
      <c r="F2503" s="157"/>
    </row>
    <row r="2504" spans="1:6" ht="15.75" x14ac:dyDescent="0.25">
      <c r="A2504" s="157"/>
      <c r="B2504" s="157"/>
      <c r="C2504" s="157"/>
      <c r="D2504" s="157"/>
      <c r="E2504" s="157"/>
      <c r="F2504" s="157"/>
    </row>
    <row r="2505" spans="1:6" ht="15.75" x14ac:dyDescent="0.25">
      <c r="A2505" s="157"/>
      <c r="B2505" s="157"/>
      <c r="C2505" s="157"/>
      <c r="D2505" s="157"/>
      <c r="E2505" s="157"/>
      <c r="F2505" s="157"/>
    </row>
    <row r="2506" spans="1:6" ht="15.75" x14ac:dyDescent="0.25">
      <c r="A2506" s="157"/>
      <c r="B2506" s="157"/>
      <c r="C2506" s="157"/>
      <c r="D2506" s="157"/>
      <c r="E2506" s="157"/>
      <c r="F2506" s="157"/>
    </row>
    <row r="2507" spans="1:6" ht="15.75" x14ac:dyDescent="0.25">
      <c r="A2507" s="157"/>
      <c r="B2507" s="157"/>
      <c r="C2507" s="157"/>
      <c r="D2507" s="157"/>
      <c r="E2507" s="157"/>
      <c r="F2507" s="157"/>
    </row>
    <row r="2508" spans="1:6" ht="15.75" x14ac:dyDescent="0.25">
      <c r="A2508" s="157"/>
      <c r="B2508" s="157"/>
      <c r="C2508" s="157"/>
      <c r="D2508" s="157"/>
      <c r="E2508" s="157"/>
      <c r="F2508" s="157"/>
    </row>
    <row r="2509" spans="1:6" ht="15.75" x14ac:dyDescent="0.25">
      <c r="A2509" s="157"/>
      <c r="B2509" s="157"/>
      <c r="C2509" s="157"/>
      <c r="D2509" s="157"/>
      <c r="E2509" s="157"/>
      <c r="F2509" s="157"/>
    </row>
    <row r="2510" spans="1:6" ht="15.75" x14ac:dyDescent="0.25">
      <c r="A2510" s="157"/>
      <c r="B2510" s="157"/>
      <c r="C2510" s="157"/>
      <c r="D2510" s="157"/>
      <c r="E2510" s="157"/>
      <c r="F2510" s="157"/>
    </row>
    <row r="2511" spans="1:6" ht="15.75" x14ac:dyDescent="0.25">
      <c r="A2511" s="157"/>
      <c r="B2511" s="157"/>
      <c r="C2511" s="157"/>
      <c r="D2511" s="157"/>
      <c r="E2511" s="157"/>
      <c r="F2511" s="157"/>
    </row>
    <row r="2512" spans="1:6" ht="15.75" x14ac:dyDescent="0.25">
      <c r="A2512" s="157"/>
      <c r="B2512" s="157"/>
      <c r="C2512" s="157"/>
      <c r="D2512" s="157"/>
      <c r="E2512" s="157"/>
      <c r="F2512" s="157"/>
    </row>
    <row r="2513" spans="1:6" ht="15.75" x14ac:dyDescent="0.25">
      <c r="A2513" s="157"/>
      <c r="B2513" s="157"/>
      <c r="C2513" s="157"/>
      <c r="D2513" s="157"/>
      <c r="E2513" s="157"/>
      <c r="F2513" s="157"/>
    </row>
    <row r="2514" spans="1:6" ht="15.75" x14ac:dyDescent="0.25">
      <c r="A2514" s="157"/>
      <c r="B2514" s="157"/>
      <c r="C2514" s="157"/>
      <c r="D2514" s="157"/>
      <c r="E2514" s="157"/>
      <c r="F2514" s="157"/>
    </row>
    <row r="2515" spans="1:6" ht="15.75" x14ac:dyDescent="0.25">
      <c r="A2515" s="157"/>
      <c r="B2515" s="157"/>
      <c r="C2515" s="157"/>
      <c r="D2515" s="157"/>
      <c r="E2515" s="157"/>
      <c r="F2515" s="157"/>
    </row>
    <row r="2516" spans="1:6" ht="15.75" x14ac:dyDescent="0.25">
      <c r="A2516" s="157"/>
      <c r="B2516" s="157"/>
      <c r="C2516" s="157"/>
      <c r="D2516" s="157"/>
      <c r="E2516" s="157"/>
      <c r="F2516" s="157"/>
    </row>
    <row r="2517" spans="1:6" ht="15.75" x14ac:dyDescent="0.25">
      <c r="A2517" s="157"/>
      <c r="B2517" s="157"/>
      <c r="C2517" s="157"/>
      <c r="D2517" s="157"/>
      <c r="E2517" s="157"/>
      <c r="F2517" s="157"/>
    </row>
    <row r="2518" spans="1:6" ht="15.75" x14ac:dyDescent="0.25">
      <c r="A2518" s="157"/>
      <c r="B2518" s="157"/>
      <c r="C2518" s="157"/>
      <c r="D2518" s="157"/>
      <c r="E2518" s="157"/>
      <c r="F2518" s="157"/>
    </row>
    <row r="2519" spans="1:6" ht="15.75" x14ac:dyDescent="0.25">
      <c r="A2519" s="157"/>
      <c r="B2519" s="157"/>
      <c r="C2519" s="157"/>
      <c r="D2519" s="157"/>
      <c r="E2519" s="157"/>
      <c r="F2519" s="157"/>
    </row>
    <row r="2520" spans="1:6" ht="15.75" x14ac:dyDescent="0.25">
      <c r="A2520" s="157"/>
      <c r="B2520" s="157"/>
      <c r="C2520" s="157"/>
      <c r="D2520" s="157"/>
      <c r="E2520" s="157"/>
      <c r="F2520" s="157"/>
    </row>
    <row r="2521" spans="1:6" ht="15.75" x14ac:dyDescent="0.25">
      <c r="A2521" s="157"/>
      <c r="B2521" s="157"/>
      <c r="C2521" s="157"/>
      <c r="D2521" s="157"/>
      <c r="E2521" s="157"/>
      <c r="F2521" s="157"/>
    </row>
    <row r="2522" spans="1:6" ht="15.75" x14ac:dyDescent="0.25">
      <c r="A2522" s="157"/>
      <c r="B2522" s="157"/>
      <c r="C2522" s="157"/>
      <c r="D2522" s="157"/>
      <c r="E2522" s="157"/>
      <c r="F2522" s="157"/>
    </row>
    <row r="2523" spans="1:6" ht="15.75" x14ac:dyDescent="0.25">
      <c r="A2523" s="157"/>
      <c r="B2523" s="157"/>
      <c r="C2523" s="157"/>
      <c r="D2523" s="157"/>
      <c r="E2523" s="157"/>
      <c r="F2523" s="157"/>
    </row>
    <row r="2524" spans="1:6" ht="15.75" x14ac:dyDescent="0.25">
      <c r="A2524" s="157"/>
      <c r="B2524" s="157"/>
      <c r="C2524" s="157"/>
      <c r="D2524" s="157"/>
      <c r="E2524" s="157"/>
      <c r="F2524" s="157"/>
    </row>
    <row r="2525" spans="1:6" ht="15.75" x14ac:dyDescent="0.25">
      <c r="A2525" s="157"/>
      <c r="B2525" s="157"/>
      <c r="C2525" s="157"/>
      <c r="D2525" s="157"/>
      <c r="E2525" s="157"/>
      <c r="F2525" s="157"/>
    </row>
    <row r="2526" spans="1:6" ht="15.75" x14ac:dyDescent="0.25">
      <c r="A2526" s="157"/>
      <c r="B2526" s="157"/>
      <c r="C2526" s="157"/>
      <c r="D2526" s="157"/>
      <c r="E2526" s="157"/>
      <c r="F2526" s="157"/>
    </row>
    <row r="2527" spans="1:6" ht="15.75" x14ac:dyDescent="0.25">
      <c r="A2527" s="157"/>
      <c r="B2527" s="157"/>
      <c r="C2527" s="157"/>
      <c r="D2527" s="157"/>
      <c r="E2527" s="157"/>
      <c r="F2527" s="157"/>
    </row>
    <row r="2528" spans="1:6" ht="15.75" x14ac:dyDescent="0.25">
      <c r="A2528" s="157"/>
      <c r="B2528" s="157"/>
      <c r="C2528" s="157"/>
      <c r="D2528" s="157"/>
      <c r="E2528" s="157"/>
      <c r="F2528" s="157"/>
    </row>
    <row r="2529" spans="1:6" ht="15.75" x14ac:dyDescent="0.25">
      <c r="A2529" s="157"/>
      <c r="B2529" s="157"/>
      <c r="C2529" s="157"/>
      <c r="D2529" s="157"/>
      <c r="E2529" s="157"/>
      <c r="F2529" s="157"/>
    </row>
    <row r="2530" spans="1:6" ht="15.75" x14ac:dyDescent="0.25">
      <c r="A2530" s="157"/>
      <c r="B2530" s="157"/>
      <c r="C2530" s="157"/>
      <c r="D2530" s="157"/>
      <c r="E2530" s="157"/>
      <c r="F2530" s="157"/>
    </row>
    <row r="2531" spans="1:6" ht="15.75" x14ac:dyDescent="0.25">
      <c r="A2531" s="157"/>
      <c r="B2531" s="157"/>
      <c r="C2531" s="157"/>
      <c r="D2531" s="157"/>
      <c r="E2531" s="157"/>
      <c r="F2531" s="157"/>
    </row>
    <row r="2532" spans="1:6" ht="15.75" x14ac:dyDescent="0.25">
      <c r="A2532" s="157"/>
      <c r="B2532" s="157"/>
      <c r="C2532" s="157"/>
      <c r="D2532" s="157"/>
      <c r="E2532" s="157"/>
      <c r="F2532" s="157"/>
    </row>
    <row r="2533" spans="1:6" ht="15.75" x14ac:dyDescent="0.25">
      <c r="A2533" s="157"/>
      <c r="B2533" s="157"/>
      <c r="C2533" s="157"/>
      <c r="D2533" s="157"/>
      <c r="E2533" s="157"/>
      <c r="F2533" s="157"/>
    </row>
    <row r="2534" spans="1:6" ht="15.75" x14ac:dyDescent="0.25">
      <c r="A2534" s="157"/>
      <c r="B2534" s="157"/>
      <c r="C2534" s="157"/>
      <c r="D2534" s="157"/>
      <c r="E2534" s="157"/>
      <c r="F2534" s="157"/>
    </row>
    <row r="2535" spans="1:6" ht="15.75" x14ac:dyDescent="0.25">
      <c r="A2535" s="157"/>
      <c r="B2535" s="157"/>
      <c r="C2535" s="157"/>
      <c r="D2535" s="157"/>
      <c r="E2535" s="157"/>
      <c r="F2535" s="157"/>
    </row>
    <row r="2536" spans="1:6" ht="15.75" x14ac:dyDescent="0.25">
      <c r="A2536" s="157"/>
      <c r="B2536" s="157"/>
      <c r="C2536" s="157"/>
      <c r="D2536" s="157"/>
      <c r="E2536" s="157"/>
      <c r="F2536" s="157"/>
    </row>
    <row r="2537" spans="1:6" ht="15.75" x14ac:dyDescent="0.25">
      <c r="A2537" s="157"/>
      <c r="B2537" s="157"/>
      <c r="C2537" s="157"/>
      <c r="D2537" s="157"/>
      <c r="E2537" s="157"/>
      <c r="F2537" s="157"/>
    </row>
    <row r="2538" spans="1:6" ht="15.75" x14ac:dyDescent="0.25">
      <c r="A2538" s="157"/>
      <c r="B2538" s="157"/>
      <c r="C2538" s="157"/>
      <c r="D2538" s="157"/>
      <c r="E2538" s="157"/>
      <c r="F2538" s="157"/>
    </row>
    <row r="2539" spans="1:6" ht="15.75" x14ac:dyDescent="0.25">
      <c r="A2539" s="157"/>
      <c r="B2539" s="157"/>
      <c r="C2539" s="157"/>
      <c r="D2539" s="157"/>
      <c r="E2539" s="157"/>
      <c r="F2539" s="157"/>
    </row>
    <row r="2540" spans="1:6" ht="15.75" x14ac:dyDescent="0.25">
      <c r="A2540" s="157"/>
      <c r="B2540" s="157"/>
      <c r="C2540" s="157"/>
      <c r="D2540" s="157"/>
      <c r="E2540" s="157"/>
      <c r="F2540" s="157"/>
    </row>
    <row r="2541" spans="1:6" ht="15.75" x14ac:dyDescent="0.25">
      <c r="A2541" s="157"/>
      <c r="B2541" s="157"/>
      <c r="C2541" s="157"/>
      <c r="D2541" s="157"/>
      <c r="E2541" s="157"/>
      <c r="F2541" s="157"/>
    </row>
    <row r="2542" spans="1:6" ht="15.75" x14ac:dyDescent="0.25">
      <c r="A2542" s="157"/>
      <c r="B2542" s="157"/>
      <c r="C2542" s="157"/>
      <c r="D2542" s="157"/>
      <c r="E2542" s="157"/>
      <c r="F2542" s="157"/>
    </row>
    <row r="2543" spans="1:6" ht="15.75" x14ac:dyDescent="0.25">
      <c r="A2543" s="157"/>
      <c r="B2543" s="157"/>
      <c r="C2543" s="157"/>
      <c r="D2543" s="157"/>
      <c r="E2543" s="157"/>
      <c r="F2543" s="157"/>
    </row>
    <row r="2544" spans="1:6" ht="15.75" x14ac:dyDescent="0.25">
      <c r="A2544" s="157"/>
      <c r="B2544" s="157"/>
      <c r="C2544" s="157"/>
      <c r="D2544" s="157"/>
      <c r="E2544" s="157"/>
      <c r="F2544" s="157"/>
    </row>
    <row r="2545" spans="1:6" ht="15.75" x14ac:dyDescent="0.25">
      <c r="A2545" s="157"/>
      <c r="B2545" s="157"/>
      <c r="C2545" s="157"/>
      <c r="D2545" s="157"/>
      <c r="E2545" s="157"/>
      <c r="F2545" s="157"/>
    </row>
    <row r="2546" spans="1:6" ht="15.75" x14ac:dyDescent="0.25">
      <c r="A2546" s="157"/>
      <c r="B2546" s="157"/>
      <c r="C2546" s="157"/>
      <c r="D2546" s="157"/>
      <c r="E2546" s="157"/>
      <c r="F2546" s="157"/>
    </row>
    <row r="2547" spans="1:6" ht="15.75" x14ac:dyDescent="0.25">
      <c r="A2547" s="157"/>
      <c r="B2547" s="157"/>
      <c r="C2547" s="157"/>
      <c r="D2547" s="157"/>
      <c r="E2547" s="157"/>
      <c r="F2547" s="157"/>
    </row>
    <row r="2548" spans="1:6" ht="15.75" x14ac:dyDescent="0.25">
      <c r="A2548" s="157"/>
      <c r="B2548" s="157"/>
      <c r="C2548" s="157"/>
      <c r="D2548" s="157"/>
      <c r="E2548" s="157"/>
      <c r="F2548" s="157"/>
    </row>
    <row r="2549" spans="1:6" ht="15.75" x14ac:dyDescent="0.25">
      <c r="A2549" s="157"/>
      <c r="B2549" s="157"/>
      <c r="C2549" s="157"/>
      <c r="D2549" s="157"/>
      <c r="E2549" s="157"/>
      <c r="F2549" s="157"/>
    </row>
    <row r="2550" spans="1:6" ht="15.75" x14ac:dyDescent="0.25">
      <c r="A2550" s="157"/>
      <c r="B2550" s="157"/>
      <c r="C2550" s="157"/>
      <c r="D2550" s="157"/>
      <c r="E2550" s="157"/>
      <c r="F2550" s="157"/>
    </row>
    <row r="2551" spans="1:6" ht="15.75" x14ac:dyDescent="0.25">
      <c r="A2551" s="157"/>
      <c r="B2551" s="157"/>
      <c r="C2551" s="157"/>
      <c r="D2551" s="157"/>
      <c r="E2551" s="157"/>
      <c r="F2551" s="157"/>
    </row>
    <row r="2552" spans="1:6" ht="15.75" x14ac:dyDescent="0.25">
      <c r="A2552" s="157"/>
      <c r="B2552" s="157"/>
      <c r="C2552" s="157"/>
      <c r="D2552" s="157"/>
      <c r="E2552" s="157"/>
      <c r="F2552" s="157"/>
    </row>
    <row r="2553" spans="1:6" ht="15.75" x14ac:dyDescent="0.25">
      <c r="A2553" s="157"/>
      <c r="B2553" s="157"/>
      <c r="C2553" s="157"/>
      <c r="D2553" s="157"/>
      <c r="E2553" s="157"/>
      <c r="F2553" s="157"/>
    </row>
    <row r="2554" spans="1:6" ht="15.75" x14ac:dyDescent="0.25">
      <c r="A2554" s="157"/>
      <c r="B2554" s="157"/>
      <c r="C2554" s="157"/>
      <c r="D2554" s="157"/>
      <c r="E2554" s="157"/>
      <c r="F2554" s="157"/>
    </row>
    <row r="2555" spans="1:6" ht="15.75" x14ac:dyDescent="0.25">
      <c r="A2555" s="157"/>
      <c r="B2555" s="157"/>
      <c r="C2555" s="157"/>
      <c r="D2555" s="157"/>
      <c r="E2555" s="157"/>
      <c r="F2555" s="157"/>
    </row>
    <row r="2556" spans="1:6" ht="15.75" x14ac:dyDescent="0.25">
      <c r="A2556" s="157"/>
      <c r="B2556" s="157"/>
      <c r="C2556" s="157"/>
      <c r="D2556" s="157"/>
      <c r="E2556" s="157"/>
      <c r="F2556" s="157"/>
    </row>
    <row r="2557" spans="1:6" ht="15.75" x14ac:dyDescent="0.25">
      <c r="A2557" s="157"/>
      <c r="B2557" s="157"/>
      <c r="C2557" s="157"/>
      <c r="D2557" s="157"/>
      <c r="E2557" s="157"/>
      <c r="F2557" s="157"/>
    </row>
    <row r="2558" spans="1:6" ht="15.75" x14ac:dyDescent="0.25">
      <c r="A2558" s="157"/>
      <c r="B2558" s="157"/>
      <c r="C2558" s="157"/>
      <c r="D2558" s="157"/>
      <c r="E2558" s="157"/>
      <c r="F2558" s="157"/>
    </row>
    <row r="2559" spans="1:6" ht="15.75" x14ac:dyDescent="0.25">
      <c r="A2559" s="157"/>
      <c r="B2559" s="157"/>
      <c r="C2559" s="157"/>
      <c r="D2559" s="157"/>
      <c r="E2559" s="157"/>
      <c r="F2559" s="157"/>
    </row>
    <row r="2560" spans="1:6" ht="15.75" x14ac:dyDescent="0.25">
      <c r="A2560" s="157"/>
      <c r="B2560" s="157"/>
      <c r="C2560" s="157"/>
      <c r="D2560" s="157"/>
      <c r="E2560" s="157"/>
      <c r="F2560" s="157"/>
    </row>
    <row r="2561" spans="1:6" ht="15.75" x14ac:dyDescent="0.25">
      <c r="A2561" s="157"/>
      <c r="B2561" s="157"/>
      <c r="C2561" s="157"/>
      <c r="D2561" s="157"/>
      <c r="E2561" s="157"/>
      <c r="F2561" s="157"/>
    </row>
    <row r="2562" spans="1:6" ht="15.75" x14ac:dyDescent="0.25">
      <c r="A2562" s="157"/>
      <c r="B2562" s="157"/>
      <c r="C2562" s="157"/>
      <c r="D2562" s="157"/>
      <c r="E2562" s="157"/>
      <c r="F2562" s="157"/>
    </row>
    <row r="2563" spans="1:6" ht="15.75" x14ac:dyDescent="0.25">
      <c r="A2563" s="157"/>
      <c r="B2563" s="157"/>
      <c r="C2563" s="157"/>
      <c r="D2563" s="157"/>
      <c r="E2563" s="157"/>
      <c r="F2563" s="157"/>
    </row>
    <row r="2564" spans="1:6" ht="15.75" x14ac:dyDescent="0.25">
      <c r="A2564" s="157"/>
      <c r="B2564" s="157"/>
      <c r="C2564" s="157"/>
      <c r="D2564" s="157"/>
      <c r="E2564" s="157"/>
      <c r="F2564" s="157"/>
    </row>
    <row r="2565" spans="1:6" ht="15.75" x14ac:dyDescent="0.25">
      <c r="A2565" s="157"/>
      <c r="B2565" s="157"/>
      <c r="C2565" s="157"/>
      <c r="D2565" s="157"/>
      <c r="E2565" s="157"/>
      <c r="F2565" s="157"/>
    </row>
    <row r="2566" spans="1:6" ht="15.75" x14ac:dyDescent="0.25">
      <c r="A2566" s="157"/>
      <c r="B2566" s="157"/>
      <c r="C2566" s="157"/>
      <c r="D2566" s="157"/>
      <c r="E2566" s="157"/>
      <c r="F2566" s="157"/>
    </row>
    <row r="2567" spans="1:6" ht="15.75" x14ac:dyDescent="0.25">
      <c r="A2567" s="157"/>
      <c r="B2567" s="157"/>
      <c r="C2567" s="157"/>
      <c r="D2567" s="157"/>
      <c r="E2567" s="157"/>
      <c r="F2567" s="157"/>
    </row>
    <row r="2568" spans="1:6" ht="15.75" x14ac:dyDescent="0.25">
      <c r="A2568" s="157"/>
      <c r="B2568" s="157"/>
      <c r="C2568" s="157"/>
      <c r="D2568" s="157"/>
      <c r="E2568" s="157"/>
      <c r="F2568" s="157"/>
    </row>
    <row r="2569" spans="1:6" ht="15.75" x14ac:dyDescent="0.25">
      <c r="A2569" s="157"/>
      <c r="B2569" s="157"/>
      <c r="C2569" s="157"/>
      <c r="D2569" s="157"/>
      <c r="E2569" s="157"/>
      <c r="F2569" s="157"/>
    </row>
    <row r="2570" spans="1:6" ht="15.75" x14ac:dyDescent="0.25">
      <c r="A2570" s="157"/>
      <c r="B2570" s="157"/>
      <c r="C2570" s="157"/>
      <c r="D2570" s="157"/>
      <c r="E2570" s="157"/>
      <c r="F2570" s="157"/>
    </row>
    <row r="2571" spans="1:6" ht="15.75" x14ac:dyDescent="0.25">
      <c r="A2571" s="157"/>
      <c r="B2571" s="157"/>
      <c r="C2571" s="157"/>
      <c r="D2571" s="157"/>
      <c r="E2571" s="157"/>
      <c r="F2571" s="157"/>
    </row>
    <row r="2572" spans="1:6" ht="15.75" x14ac:dyDescent="0.25">
      <c r="A2572" s="157"/>
      <c r="B2572" s="157"/>
      <c r="C2572" s="157"/>
      <c r="D2572" s="157"/>
      <c r="E2572" s="157"/>
      <c r="F2572" s="157"/>
    </row>
    <row r="2573" spans="1:6" ht="15.75" x14ac:dyDescent="0.25">
      <c r="A2573" s="157"/>
      <c r="B2573" s="157"/>
      <c r="C2573" s="157"/>
      <c r="D2573" s="157"/>
      <c r="E2573" s="157"/>
      <c r="F2573" s="157"/>
    </row>
    <row r="2574" spans="1:6" ht="15.75" x14ac:dyDescent="0.25">
      <c r="A2574" s="157"/>
      <c r="B2574" s="157"/>
      <c r="C2574" s="157"/>
      <c r="D2574" s="157"/>
      <c r="E2574" s="157"/>
      <c r="F2574" s="157"/>
    </row>
    <row r="2575" spans="1:6" ht="15.75" x14ac:dyDescent="0.25">
      <c r="A2575" s="157"/>
      <c r="B2575" s="157"/>
      <c r="C2575" s="157"/>
      <c r="D2575" s="157"/>
      <c r="E2575" s="157"/>
      <c r="F2575" s="157"/>
    </row>
    <row r="2576" spans="1:6" ht="15.75" x14ac:dyDescent="0.25">
      <c r="A2576" s="157"/>
      <c r="B2576" s="157"/>
      <c r="C2576" s="157"/>
      <c r="D2576" s="157"/>
      <c r="E2576" s="157"/>
      <c r="F2576" s="157"/>
    </row>
    <row r="2577" spans="1:6" ht="15.75" x14ac:dyDescent="0.25">
      <c r="A2577" s="157"/>
      <c r="B2577" s="157"/>
      <c r="C2577" s="157"/>
      <c r="D2577" s="157"/>
      <c r="E2577" s="157"/>
      <c r="F2577" s="157"/>
    </row>
    <row r="2578" spans="1:6" ht="15.75" x14ac:dyDescent="0.25">
      <c r="A2578" s="157"/>
      <c r="B2578" s="157"/>
      <c r="C2578" s="157"/>
      <c r="D2578" s="157"/>
      <c r="E2578" s="157"/>
      <c r="F2578" s="157"/>
    </row>
    <row r="2579" spans="1:6" ht="15.75" x14ac:dyDescent="0.25">
      <c r="A2579" s="157"/>
      <c r="B2579" s="157"/>
      <c r="C2579" s="157"/>
      <c r="D2579" s="157"/>
      <c r="E2579" s="157"/>
      <c r="F2579" s="157"/>
    </row>
    <row r="2580" spans="1:6" ht="15.75" x14ac:dyDescent="0.25">
      <c r="A2580" s="157"/>
      <c r="B2580" s="157"/>
      <c r="C2580" s="157"/>
      <c r="D2580" s="157"/>
      <c r="E2580" s="157"/>
      <c r="F2580" s="157"/>
    </row>
    <row r="2581" spans="1:6" ht="15.75" x14ac:dyDescent="0.25">
      <c r="A2581" s="157"/>
      <c r="B2581" s="157"/>
      <c r="C2581" s="157"/>
      <c r="D2581" s="157"/>
      <c r="E2581" s="157"/>
      <c r="F2581" s="157"/>
    </row>
    <row r="2582" spans="1:6" ht="15.75" x14ac:dyDescent="0.25">
      <c r="A2582" s="157"/>
      <c r="B2582" s="157"/>
      <c r="C2582" s="157"/>
      <c r="D2582" s="157"/>
      <c r="E2582" s="157"/>
      <c r="F2582" s="157"/>
    </row>
    <row r="2583" spans="1:6" ht="15.75" x14ac:dyDescent="0.25">
      <c r="A2583" s="157"/>
      <c r="B2583" s="157"/>
      <c r="C2583" s="157"/>
      <c r="D2583" s="157"/>
      <c r="E2583" s="157"/>
      <c r="F2583" s="157"/>
    </row>
    <row r="2584" spans="1:6" ht="15.75" x14ac:dyDescent="0.25">
      <c r="A2584" s="157"/>
      <c r="B2584" s="157"/>
      <c r="C2584" s="157"/>
      <c r="D2584" s="157"/>
      <c r="E2584" s="157"/>
      <c r="F2584" s="157"/>
    </row>
    <row r="2585" spans="1:6" ht="15.75" x14ac:dyDescent="0.25">
      <c r="A2585" s="157"/>
      <c r="B2585" s="157"/>
      <c r="C2585" s="157"/>
      <c r="D2585" s="157"/>
      <c r="E2585" s="157"/>
      <c r="F2585" s="157"/>
    </row>
    <row r="2586" spans="1:6" ht="15.75" x14ac:dyDescent="0.25">
      <c r="A2586" s="157"/>
      <c r="B2586" s="157"/>
      <c r="C2586" s="157"/>
      <c r="D2586" s="157"/>
      <c r="E2586" s="157"/>
      <c r="F2586" s="157"/>
    </row>
    <row r="2587" spans="1:6" ht="15.75" x14ac:dyDescent="0.25">
      <c r="A2587" s="157"/>
      <c r="B2587" s="157"/>
      <c r="C2587" s="157"/>
      <c r="D2587" s="157"/>
      <c r="E2587" s="157"/>
      <c r="F2587" s="157"/>
    </row>
    <row r="2588" spans="1:6" ht="15.75" x14ac:dyDescent="0.25">
      <c r="A2588" s="157"/>
      <c r="B2588" s="157"/>
      <c r="C2588" s="157"/>
      <c r="D2588" s="157"/>
      <c r="E2588" s="157"/>
      <c r="F2588" s="157"/>
    </row>
    <row r="2589" spans="1:6" ht="15.75" x14ac:dyDescent="0.25">
      <c r="A2589" s="157"/>
      <c r="B2589" s="157"/>
      <c r="C2589" s="157"/>
      <c r="D2589" s="157"/>
      <c r="E2589" s="157"/>
      <c r="F2589" s="157"/>
    </row>
    <row r="2590" spans="1:6" ht="15.75" x14ac:dyDescent="0.25">
      <c r="A2590" s="157"/>
      <c r="B2590" s="157"/>
      <c r="C2590" s="157"/>
      <c r="D2590" s="157"/>
      <c r="E2590" s="157"/>
      <c r="F2590" s="157"/>
    </row>
    <row r="2591" spans="1:6" ht="15.75" x14ac:dyDescent="0.25">
      <c r="A2591" s="157"/>
      <c r="B2591" s="157"/>
      <c r="C2591" s="157"/>
      <c r="D2591" s="157"/>
      <c r="E2591" s="157"/>
      <c r="F2591" s="157"/>
    </row>
    <row r="2592" spans="1:6" ht="15.75" x14ac:dyDescent="0.25">
      <c r="A2592" s="157"/>
      <c r="B2592" s="157"/>
      <c r="C2592" s="157"/>
      <c r="D2592" s="157"/>
      <c r="E2592" s="157"/>
      <c r="F2592" s="157"/>
    </row>
    <row r="2593" spans="1:6" ht="15.75" x14ac:dyDescent="0.25">
      <c r="A2593" s="157"/>
      <c r="B2593" s="157"/>
      <c r="C2593" s="157"/>
      <c r="D2593" s="157"/>
      <c r="E2593" s="157"/>
      <c r="F2593" s="157"/>
    </row>
    <row r="2594" spans="1:6" ht="15.75" x14ac:dyDescent="0.25">
      <c r="A2594" s="157"/>
      <c r="B2594" s="157"/>
      <c r="C2594" s="157"/>
      <c r="D2594" s="157"/>
      <c r="E2594" s="157"/>
      <c r="F2594" s="157"/>
    </row>
    <row r="2595" spans="1:6" ht="15.75" x14ac:dyDescent="0.25">
      <c r="A2595" s="157"/>
      <c r="B2595" s="157"/>
      <c r="C2595" s="157"/>
      <c r="D2595" s="157"/>
      <c r="E2595" s="157"/>
      <c r="F2595" s="157"/>
    </row>
    <row r="2596" spans="1:6" ht="15.75" x14ac:dyDescent="0.25">
      <c r="A2596" s="157"/>
      <c r="B2596" s="157"/>
      <c r="C2596" s="157"/>
      <c r="D2596" s="157"/>
      <c r="E2596" s="157"/>
      <c r="F2596" s="157"/>
    </row>
    <row r="2597" spans="1:6" ht="15.75" x14ac:dyDescent="0.25">
      <c r="A2597" s="157"/>
      <c r="B2597" s="157"/>
      <c r="C2597" s="157"/>
      <c r="D2597" s="157"/>
      <c r="E2597" s="157"/>
      <c r="F2597" s="157"/>
    </row>
    <row r="2598" spans="1:6" ht="15.75" x14ac:dyDescent="0.25">
      <c r="A2598" s="157"/>
      <c r="B2598" s="157"/>
      <c r="C2598" s="157"/>
      <c r="D2598" s="157"/>
      <c r="E2598" s="157"/>
      <c r="F2598" s="157"/>
    </row>
    <row r="2599" spans="1:6" ht="15.75" x14ac:dyDescent="0.25">
      <c r="A2599" s="157"/>
      <c r="B2599" s="157"/>
      <c r="C2599" s="157"/>
      <c r="D2599" s="157"/>
      <c r="E2599" s="157"/>
      <c r="F2599" s="157"/>
    </row>
    <row r="2600" spans="1:6" ht="15.75" x14ac:dyDescent="0.25">
      <c r="A2600" s="157"/>
      <c r="B2600" s="157"/>
      <c r="C2600" s="157"/>
      <c r="D2600" s="157"/>
      <c r="E2600" s="157"/>
      <c r="F2600" s="157"/>
    </row>
    <row r="2601" spans="1:6" ht="15.75" x14ac:dyDescent="0.25">
      <c r="A2601" s="157"/>
      <c r="B2601" s="157"/>
      <c r="C2601" s="157"/>
      <c r="D2601" s="157"/>
      <c r="E2601" s="157"/>
      <c r="F2601" s="157"/>
    </row>
    <row r="2602" spans="1:6" ht="15.75" x14ac:dyDescent="0.25">
      <c r="A2602" s="157"/>
      <c r="B2602" s="157"/>
      <c r="C2602" s="157"/>
      <c r="D2602" s="157"/>
      <c r="E2602" s="157"/>
      <c r="F2602" s="157"/>
    </row>
    <row r="2603" spans="1:6" ht="15.75" x14ac:dyDescent="0.25">
      <c r="A2603" s="157"/>
      <c r="B2603" s="157"/>
      <c r="C2603" s="157"/>
      <c r="D2603" s="157"/>
      <c r="E2603" s="157"/>
      <c r="F2603" s="157"/>
    </row>
    <row r="2604" spans="1:6" ht="15.75" x14ac:dyDescent="0.25">
      <c r="A2604" s="157"/>
      <c r="B2604" s="157"/>
      <c r="C2604" s="157"/>
      <c r="D2604" s="157"/>
      <c r="E2604" s="157"/>
      <c r="F2604" s="157"/>
    </row>
    <row r="2605" spans="1:6" ht="15.75" x14ac:dyDescent="0.25">
      <c r="A2605" s="157"/>
      <c r="B2605" s="157"/>
      <c r="C2605" s="157"/>
      <c r="D2605" s="157"/>
      <c r="E2605" s="157"/>
      <c r="F2605" s="157"/>
    </row>
    <row r="2606" spans="1:6" ht="15.75" x14ac:dyDescent="0.25">
      <c r="A2606" s="157"/>
      <c r="B2606" s="157"/>
      <c r="C2606" s="157"/>
      <c r="D2606" s="157"/>
      <c r="E2606" s="157"/>
      <c r="F2606" s="157"/>
    </row>
    <row r="2607" spans="1:6" ht="15.75" x14ac:dyDescent="0.25">
      <c r="A2607" s="157"/>
      <c r="B2607" s="157"/>
      <c r="C2607" s="157"/>
      <c r="D2607" s="157"/>
      <c r="E2607" s="157"/>
      <c r="F2607" s="157"/>
    </row>
    <row r="2608" spans="1:6" ht="15.75" x14ac:dyDescent="0.25">
      <c r="A2608" s="157"/>
      <c r="B2608" s="157"/>
      <c r="C2608" s="157"/>
      <c r="D2608" s="157"/>
      <c r="E2608" s="157"/>
      <c r="F2608" s="157"/>
    </row>
    <row r="2609" spans="1:6" ht="15.75" x14ac:dyDescent="0.25">
      <c r="A2609" s="157"/>
      <c r="B2609" s="157"/>
      <c r="C2609" s="157"/>
      <c r="D2609" s="157"/>
      <c r="E2609" s="157"/>
      <c r="F2609" s="157"/>
    </row>
    <row r="2610" spans="1:6" ht="15.75" x14ac:dyDescent="0.25">
      <c r="A2610" s="157"/>
      <c r="B2610" s="157"/>
      <c r="C2610" s="157"/>
      <c r="D2610" s="157"/>
      <c r="E2610" s="157"/>
      <c r="F2610" s="157"/>
    </row>
    <row r="2611" spans="1:6" ht="15.75" x14ac:dyDescent="0.25">
      <c r="A2611" s="157"/>
      <c r="B2611" s="157"/>
      <c r="C2611" s="157"/>
      <c r="D2611" s="157"/>
      <c r="E2611" s="157"/>
      <c r="F2611" s="157"/>
    </row>
    <row r="2612" spans="1:6" ht="15.75" x14ac:dyDescent="0.25">
      <c r="A2612" s="157"/>
      <c r="B2612" s="157"/>
      <c r="C2612" s="157"/>
      <c r="D2612" s="157"/>
      <c r="E2612" s="157"/>
      <c r="F2612" s="157"/>
    </row>
    <row r="2613" spans="1:6" ht="15.75" x14ac:dyDescent="0.25">
      <c r="A2613" s="157"/>
      <c r="B2613" s="157"/>
      <c r="C2613" s="157"/>
      <c r="D2613" s="157"/>
      <c r="E2613" s="157"/>
      <c r="F2613" s="157"/>
    </row>
    <row r="2614" spans="1:6" ht="15.75" x14ac:dyDescent="0.25">
      <c r="A2614" s="157"/>
      <c r="B2614" s="157"/>
      <c r="C2614" s="157"/>
      <c r="D2614" s="157"/>
      <c r="E2614" s="157"/>
      <c r="F2614" s="157"/>
    </row>
    <row r="2615" spans="1:6" ht="15.75" x14ac:dyDescent="0.25">
      <c r="A2615" s="157"/>
      <c r="B2615" s="157"/>
      <c r="C2615" s="157"/>
      <c r="D2615" s="157"/>
      <c r="E2615" s="157"/>
      <c r="F2615" s="157"/>
    </row>
    <row r="2616" spans="1:6" ht="15.75" x14ac:dyDescent="0.25">
      <c r="A2616" s="157"/>
      <c r="B2616" s="157"/>
      <c r="C2616" s="157"/>
      <c r="D2616" s="157"/>
      <c r="E2616" s="157"/>
      <c r="F2616" s="157"/>
    </row>
    <row r="2617" spans="1:6" ht="15.75" x14ac:dyDescent="0.25">
      <c r="A2617" s="157"/>
      <c r="B2617" s="157"/>
      <c r="C2617" s="157"/>
      <c r="D2617" s="157"/>
      <c r="E2617" s="157"/>
      <c r="F2617" s="157"/>
    </row>
    <row r="2618" spans="1:6" ht="15.75" x14ac:dyDescent="0.25">
      <c r="A2618" s="157"/>
      <c r="B2618" s="157"/>
      <c r="C2618" s="157"/>
      <c r="D2618" s="157"/>
      <c r="E2618" s="157"/>
      <c r="F2618" s="157"/>
    </row>
    <row r="2619" spans="1:6" ht="15.75" x14ac:dyDescent="0.25">
      <c r="A2619" s="157"/>
      <c r="B2619" s="157"/>
      <c r="C2619" s="157"/>
      <c r="D2619" s="157"/>
      <c r="E2619" s="157"/>
      <c r="F2619" s="157"/>
    </row>
    <row r="2620" spans="1:6" ht="15.75" x14ac:dyDescent="0.25">
      <c r="A2620" s="157"/>
      <c r="B2620" s="157"/>
      <c r="C2620" s="157"/>
      <c r="D2620" s="157"/>
      <c r="E2620" s="157"/>
      <c r="F2620" s="157"/>
    </row>
    <row r="2621" spans="1:6" ht="15.75" x14ac:dyDescent="0.25">
      <c r="A2621" s="157"/>
      <c r="B2621" s="157"/>
      <c r="C2621" s="157"/>
      <c r="D2621" s="157"/>
      <c r="E2621" s="157"/>
      <c r="F2621" s="157"/>
    </row>
    <row r="2622" spans="1:6" ht="15.75" x14ac:dyDescent="0.25">
      <c r="A2622" s="157"/>
      <c r="B2622" s="157"/>
      <c r="C2622" s="157"/>
      <c r="D2622" s="157"/>
      <c r="E2622" s="157"/>
      <c r="F2622" s="157"/>
    </row>
    <row r="2623" spans="1:6" ht="15.75" x14ac:dyDescent="0.25">
      <c r="A2623" s="157"/>
      <c r="B2623" s="157"/>
      <c r="C2623" s="157"/>
      <c r="D2623" s="157"/>
      <c r="E2623" s="157"/>
      <c r="F2623" s="157"/>
    </row>
    <row r="2624" spans="1:6" ht="15.75" x14ac:dyDescent="0.25">
      <c r="A2624" s="157"/>
      <c r="B2624" s="157"/>
      <c r="C2624" s="157"/>
      <c r="D2624" s="157"/>
      <c r="E2624" s="157"/>
      <c r="F2624" s="157"/>
    </row>
    <row r="2625" spans="1:6" ht="15.75" x14ac:dyDescent="0.25">
      <c r="A2625" s="157"/>
      <c r="B2625" s="157"/>
      <c r="C2625" s="157"/>
      <c r="D2625" s="157"/>
      <c r="E2625" s="157"/>
      <c r="F2625" s="157"/>
    </row>
    <row r="2626" spans="1:6" ht="15.75" x14ac:dyDescent="0.25">
      <c r="A2626" s="157"/>
      <c r="B2626" s="157"/>
      <c r="C2626" s="157"/>
      <c r="D2626" s="157"/>
      <c r="E2626" s="157"/>
      <c r="F2626" s="157"/>
    </row>
    <row r="2627" spans="1:6" ht="15.75" x14ac:dyDescent="0.25">
      <c r="A2627" s="157"/>
      <c r="B2627" s="157"/>
      <c r="C2627" s="157"/>
      <c r="D2627" s="157"/>
      <c r="E2627" s="157"/>
      <c r="F2627" s="157"/>
    </row>
    <row r="2628" spans="1:6" ht="15.75" x14ac:dyDescent="0.25">
      <c r="A2628" s="157"/>
      <c r="B2628" s="157"/>
      <c r="C2628" s="157"/>
      <c r="D2628" s="157"/>
      <c r="E2628" s="157"/>
      <c r="F2628" s="157"/>
    </row>
    <row r="2629" spans="1:6" ht="15.75" x14ac:dyDescent="0.25">
      <c r="A2629" s="157"/>
      <c r="B2629" s="157"/>
      <c r="C2629" s="157"/>
      <c r="D2629" s="157"/>
      <c r="E2629" s="157"/>
      <c r="F2629" s="157"/>
    </row>
    <row r="2630" spans="1:6" ht="15.75" x14ac:dyDescent="0.25">
      <c r="A2630" s="157"/>
      <c r="B2630" s="157"/>
      <c r="C2630" s="157"/>
      <c r="D2630" s="157"/>
      <c r="E2630" s="157"/>
      <c r="F2630" s="157"/>
    </row>
    <row r="2631" spans="1:6" ht="15.75" x14ac:dyDescent="0.25">
      <c r="A2631" s="157"/>
      <c r="B2631" s="157"/>
      <c r="C2631" s="157"/>
      <c r="D2631" s="157"/>
      <c r="E2631" s="157"/>
      <c r="F2631" s="157"/>
    </row>
    <row r="2632" spans="1:6" ht="15.75" x14ac:dyDescent="0.25">
      <c r="A2632" s="157"/>
      <c r="B2632" s="157"/>
      <c r="C2632" s="157"/>
      <c r="D2632" s="157"/>
      <c r="E2632" s="157"/>
      <c r="F2632" s="157"/>
    </row>
    <row r="2633" spans="1:6" ht="15.75" x14ac:dyDescent="0.25">
      <c r="A2633" s="157"/>
      <c r="B2633" s="157"/>
      <c r="C2633" s="157"/>
      <c r="D2633" s="157"/>
      <c r="E2633" s="157"/>
      <c r="F2633" s="157"/>
    </row>
    <row r="2634" spans="1:6" ht="15.75" x14ac:dyDescent="0.25">
      <c r="A2634" s="157"/>
      <c r="B2634" s="157"/>
      <c r="C2634" s="157"/>
      <c r="D2634" s="157"/>
      <c r="E2634" s="157"/>
      <c r="F2634" s="157"/>
    </row>
    <row r="2635" spans="1:6" ht="15.75" x14ac:dyDescent="0.25">
      <c r="A2635" s="157"/>
      <c r="B2635" s="157"/>
      <c r="C2635" s="157"/>
      <c r="D2635" s="157"/>
      <c r="E2635" s="157"/>
      <c r="F2635" s="157"/>
    </row>
    <row r="2636" spans="1:6" ht="15.75" x14ac:dyDescent="0.25">
      <c r="A2636" s="157"/>
      <c r="B2636" s="157"/>
      <c r="C2636" s="157"/>
      <c r="D2636" s="157"/>
      <c r="E2636" s="157"/>
      <c r="F2636" s="157"/>
    </row>
    <row r="2637" spans="1:6" ht="15.75" x14ac:dyDescent="0.25">
      <c r="A2637" s="157"/>
      <c r="B2637" s="157"/>
      <c r="C2637" s="157"/>
      <c r="D2637" s="157"/>
      <c r="E2637" s="157"/>
      <c r="F2637" s="157"/>
    </row>
    <row r="2638" spans="1:6" ht="15.75" x14ac:dyDescent="0.25">
      <c r="A2638" s="157"/>
      <c r="B2638" s="157"/>
      <c r="C2638" s="157"/>
      <c r="D2638" s="157"/>
      <c r="E2638" s="157"/>
      <c r="F2638" s="157"/>
    </row>
    <row r="2639" spans="1:6" ht="15.75" x14ac:dyDescent="0.25">
      <c r="A2639" s="157"/>
      <c r="B2639" s="157"/>
      <c r="C2639" s="157"/>
      <c r="D2639" s="157"/>
      <c r="E2639" s="157"/>
      <c r="F2639" s="157"/>
    </row>
    <row r="2640" spans="1:6" ht="15.75" x14ac:dyDescent="0.25">
      <c r="A2640" s="157"/>
      <c r="B2640" s="157"/>
      <c r="C2640" s="157"/>
      <c r="D2640" s="157"/>
      <c r="E2640" s="157"/>
      <c r="F2640" s="157"/>
    </row>
    <row r="2641" spans="1:6" ht="15.75" x14ac:dyDescent="0.25">
      <c r="A2641" s="157"/>
      <c r="B2641" s="157"/>
      <c r="C2641" s="157"/>
      <c r="D2641" s="157"/>
      <c r="E2641" s="157"/>
      <c r="F2641" s="157"/>
    </row>
    <row r="2642" spans="1:6" ht="15.75" x14ac:dyDescent="0.25">
      <c r="A2642" s="157"/>
      <c r="B2642" s="157"/>
      <c r="C2642" s="157"/>
      <c r="D2642" s="157"/>
      <c r="E2642" s="157"/>
      <c r="F2642" s="157"/>
    </row>
    <row r="2643" spans="1:6" ht="15.75" x14ac:dyDescent="0.25">
      <c r="A2643" s="157"/>
      <c r="B2643" s="157"/>
      <c r="C2643" s="157"/>
      <c r="D2643" s="157"/>
      <c r="E2643" s="157"/>
      <c r="F2643" s="157"/>
    </row>
    <row r="2644" spans="1:6" ht="15.75" x14ac:dyDescent="0.25">
      <c r="A2644" s="157"/>
      <c r="B2644" s="157"/>
      <c r="C2644" s="157"/>
      <c r="D2644" s="157"/>
      <c r="E2644" s="157"/>
      <c r="F2644" s="157"/>
    </row>
    <row r="2645" spans="1:6" ht="15.75" x14ac:dyDescent="0.25">
      <c r="A2645" s="157"/>
      <c r="B2645" s="157"/>
      <c r="C2645" s="157"/>
      <c r="D2645" s="157"/>
      <c r="E2645" s="157"/>
      <c r="F2645" s="157"/>
    </row>
    <row r="2646" spans="1:6" ht="15.75" x14ac:dyDescent="0.25">
      <c r="A2646" s="157"/>
      <c r="B2646" s="157"/>
      <c r="C2646" s="157"/>
      <c r="D2646" s="157"/>
      <c r="E2646" s="157"/>
      <c r="F2646" s="157"/>
    </row>
    <row r="2647" spans="1:6" ht="15.75" x14ac:dyDescent="0.25">
      <c r="A2647" s="157"/>
      <c r="B2647" s="157"/>
      <c r="C2647" s="157"/>
      <c r="D2647" s="157"/>
      <c r="E2647" s="157"/>
      <c r="F2647" s="157"/>
    </row>
    <row r="2648" spans="1:6" ht="15.75" x14ac:dyDescent="0.25">
      <c r="A2648" s="157"/>
      <c r="B2648" s="157"/>
      <c r="C2648" s="157"/>
      <c r="D2648" s="157"/>
      <c r="E2648" s="157"/>
      <c r="F2648" s="157"/>
    </row>
    <row r="2649" spans="1:6" ht="15.75" x14ac:dyDescent="0.25">
      <c r="A2649" s="157"/>
      <c r="B2649" s="157"/>
      <c r="C2649" s="157"/>
      <c r="D2649" s="157"/>
      <c r="E2649" s="157"/>
      <c r="F2649" s="157"/>
    </row>
    <row r="2650" spans="1:6" ht="15.75" x14ac:dyDescent="0.25">
      <c r="A2650" s="157"/>
      <c r="B2650" s="157"/>
      <c r="C2650" s="157"/>
      <c r="D2650" s="157"/>
      <c r="E2650" s="157"/>
      <c r="F2650" s="157"/>
    </row>
    <row r="2651" spans="1:6" ht="15.75" x14ac:dyDescent="0.25">
      <c r="A2651" s="157"/>
      <c r="B2651" s="157"/>
      <c r="C2651" s="157"/>
      <c r="D2651" s="157"/>
      <c r="E2651" s="157"/>
      <c r="F2651" s="157"/>
    </row>
    <row r="2652" spans="1:6" ht="15.75" x14ac:dyDescent="0.25">
      <c r="A2652" s="157"/>
      <c r="B2652" s="157"/>
      <c r="C2652" s="157"/>
      <c r="D2652" s="157"/>
      <c r="E2652" s="157"/>
      <c r="F2652" s="157"/>
    </row>
    <row r="2653" spans="1:6" ht="15.75" x14ac:dyDescent="0.25">
      <c r="A2653" s="157"/>
      <c r="B2653" s="157"/>
      <c r="C2653" s="157"/>
      <c r="D2653" s="157"/>
      <c r="E2653" s="157"/>
      <c r="F2653" s="157"/>
    </row>
    <row r="2654" spans="1:6" ht="15.75" x14ac:dyDescent="0.25">
      <c r="A2654" s="157"/>
      <c r="B2654" s="157"/>
      <c r="C2654" s="157"/>
      <c r="D2654" s="157"/>
      <c r="E2654" s="157"/>
      <c r="F2654" s="157"/>
    </row>
    <row r="2655" spans="1:6" ht="15.75" x14ac:dyDescent="0.25">
      <c r="A2655" s="157"/>
      <c r="B2655" s="157"/>
      <c r="C2655" s="157"/>
      <c r="D2655" s="157"/>
      <c r="E2655" s="157"/>
      <c r="F2655" s="157"/>
    </row>
    <row r="2656" spans="1:6" ht="15.75" x14ac:dyDescent="0.25">
      <c r="A2656" s="157"/>
      <c r="B2656" s="157"/>
      <c r="C2656" s="157"/>
      <c r="D2656" s="157"/>
      <c r="E2656" s="157"/>
      <c r="F2656" s="157"/>
    </row>
    <row r="2657" spans="1:6" ht="15.75" x14ac:dyDescent="0.25">
      <c r="A2657" s="157"/>
      <c r="B2657" s="157"/>
      <c r="C2657" s="157"/>
      <c r="D2657" s="157"/>
      <c r="E2657" s="157"/>
      <c r="F2657" s="157"/>
    </row>
    <row r="2658" spans="1:6" ht="15.75" x14ac:dyDescent="0.25">
      <c r="A2658" s="157"/>
      <c r="B2658" s="157"/>
      <c r="C2658" s="157"/>
      <c r="D2658" s="157"/>
      <c r="E2658" s="157"/>
      <c r="F2658" s="157"/>
    </row>
    <row r="2659" spans="1:6" ht="15.75" x14ac:dyDescent="0.25">
      <c r="A2659" s="157"/>
      <c r="B2659" s="157"/>
      <c r="C2659" s="157"/>
      <c r="D2659" s="157"/>
      <c r="E2659" s="157"/>
      <c r="F2659" s="157"/>
    </row>
    <row r="2660" spans="1:6" ht="15.75" x14ac:dyDescent="0.25">
      <c r="A2660" s="157"/>
      <c r="B2660" s="157"/>
      <c r="C2660" s="157"/>
      <c r="D2660" s="157"/>
      <c r="E2660" s="157"/>
      <c r="F2660" s="157"/>
    </row>
    <row r="2661" spans="1:6" ht="15.75" x14ac:dyDescent="0.25">
      <c r="A2661" s="157"/>
      <c r="B2661" s="157"/>
      <c r="C2661" s="157"/>
      <c r="D2661" s="157"/>
      <c r="E2661" s="157"/>
      <c r="F2661" s="157"/>
    </row>
    <row r="2662" spans="1:6" ht="15.75" x14ac:dyDescent="0.25">
      <c r="A2662" s="157"/>
      <c r="B2662" s="157"/>
      <c r="C2662" s="157"/>
      <c r="D2662" s="157"/>
      <c r="E2662" s="157"/>
      <c r="F2662" s="157"/>
    </row>
    <row r="2663" spans="1:6" ht="15.75" x14ac:dyDescent="0.25">
      <c r="A2663" s="157"/>
      <c r="B2663" s="157"/>
      <c r="C2663" s="157"/>
      <c r="D2663" s="157"/>
      <c r="E2663" s="157"/>
      <c r="F2663" s="157"/>
    </row>
    <row r="2664" spans="1:6" ht="15.75" x14ac:dyDescent="0.25">
      <c r="A2664" s="157"/>
      <c r="B2664" s="157"/>
      <c r="C2664" s="157"/>
      <c r="D2664" s="157"/>
      <c r="E2664" s="157"/>
      <c r="F2664" s="157"/>
    </row>
    <row r="2665" spans="1:6" ht="15.75" x14ac:dyDescent="0.25">
      <c r="A2665" s="157"/>
      <c r="B2665" s="157"/>
      <c r="C2665" s="157"/>
      <c r="D2665" s="157"/>
      <c r="E2665" s="157"/>
      <c r="F2665" s="157"/>
    </row>
    <row r="2666" spans="1:6" ht="15.75" x14ac:dyDescent="0.25">
      <c r="A2666" s="157"/>
      <c r="B2666" s="157"/>
      <c r="C2666" s="157"/>
      <c r="D2666" s="157"/>
      <c r="E2666" s="157"/>
      <c r="F2666" s="157"/>
    </row>
    <row r="2667" spans="1:6" ht="15.75" x14ac:dyDescent="0.25">
      <c r="A2667" s="157"/>
      <c r="B2667" s="157"/>
      <c r="C2667" s="157"/>
      <c r="D2667" s="157"/>
      <c r="E2667" s="157"/>
      <c r="F2667" s="157"/>
    </row>
    <row r="2668" spans="1:6" ht="15.75" x14ac:dyDescent="0.25">
      <c r="A2668" s="157"/>
      <c r="B2668" s="157"/>
      <c r="C2668" s="157"/>
      <c r="D2668" s="157"/>
      <c r="E2668" s="157"/>
      <c r="F2668" s="157"/>
    </row>
    <row r="2669" spans="1:6" ht="15.75" x14ac:dyDescent="0.25">
      <c r="A2669" s="157"/>
      <c r="B2669" s="157"/>
      <c r="C2669" s="157"/>
      <c r="D2669" s="157"/>
      <c r="E2669" s="157"/>
      <c r="F2669" s="157"/>
    </row>
    <row r="2670" spans="1:6" ht="15.75" x14ac:dyDescent="0.25">
      <c r="A2670" s="157"/>
      <c r="B2670" s="157"/>
      <c r="C2670" s="157"/>
      <c r="D2670" s="157"/>
      <c r="E2670" s="157"/>
      <c r="F2670" s="157"/>
    </row>
    <row r="2671" spans="1:6" ht="15.75" x14ac:dyDescent="0.25">
      <c r="A2671" s="157"/>
      <c r="B2671" s="157"/>
      <c r="C2671" s="157"/>
      <c r="D2671" s="157"/>
      <c r="E2671" s="157"/>
      <c r="F2671" s="157"/>
    </row>
    <row r="2672" spans="1:6" ht="15.75" x14ac:dyDescent="0.25">
      <c r="A2672" s="157"/>
      <c r="B2672" s="157"/>
      <c r="C2672" s="157"/>
      <c r="D2672" s="157"/>
      <c r="E2672" s="157"/>
      <c r="F2672" s="157"/>
    </row>
    <row r="2673" spans="1:6" ht="15.75" x14ac:dyDescent="0.25">
      <c r="A2673" s="157"/>
      <c r="B2673" s="157"/>
      <c r="C2673" s="157"/>
      <c r="D2673" s="157"/>
      <c r="E2673" s="157"/>
      <c r="F2673" s="157"/>
    </row>
    <row r="2674" spans="1:6" ht="15.75" x14ac:dyDescent="0.25">
      <c r="A2674" s="157"/>
      <c r="B2674" s="157"/>
      <c r="C2674" s="157"/>
      <c r="D2674" s="157"/>
      <c r="E2674" s="157"/>
      <c r="F2674" s="157"/>
    </row>
    <row r="2675" spans="1:6" ht="15.75" x14ac:dyDescent="0.25">
      <c r="A2675" s="157"/>
      <c r="B2675" s="157"/>
      <c r="C2675" s="157"/>
      <c r="D2675" s="157"/>
      <c r="E2675" s="157"/>
      <c r="F2675" s="157"/>
    </row>
    <row r="2676" spans="1:6" ht="15.75" x14ac:dyDescent="0.25">
      <c r="A2676" s="157"/>
      <c r="B2676" s="157"/>
      <c r="C2676" s="157"/>
      <c r="D2676" s="157"/>
      <c r="E2676" s="157"/>
      <c r="F2676" s="157"/>
    </row>
    <row r="2677" spans="1:6" ht="15.75" x14ac:dyDescent="0.25">
      <c r="A2677" s="157"/>
      <c r="B2677" s="157"/>
      <c r="C2677" s="157"/>
      <c r="D2677" s="157"/>
      <c r="E2677" s="157"/>
      <c r="F2677" s="157"/>
    </row>
    <row r="2678" spans="1:6" ht="15.75" x14ac:dyDescent="0.25">
      <c r="A2678" s="157"/>
      <c r="B2678" s="157"/>
      <c r="C2678" s="157"/>
      <c r="D2678" s="157"/>
      <c r="E2678" s="157"/>
      <c r="F2678" s="157"/>
    </row>
    <row r="2679" spans="1:6" ht="15.75" x14ac:dyDescent="0.25">
      <c r="A2679" s="157"/>
      <c r="B2679" s="157"/>
      <c r="C2679" s="157"/>
      <c r="D2679" s="157"/>
      <c r="E2679" s="157"/>
      <c r="F2679" s="157"/>
    </row>
    <row r="2680" spans="1:6" ht="15.75" x14ac:dyDescent="0.25">
      <c r="A2680" s="157"/>
      <c r="B2680" s="157"/>
      <c r="C2680" s="157"/>
      <c r="D2680" s="157"/>
      <c r="E2680" s="157"/>
      <c r="F2680" s="157"/>
    </row>
    <row r="2681" spans="1:6" ht="15.75" x14ac:dyDescent="0.25">
      <c r="A2681" s="157"/>
      <c r="B2681" s="157"/>
      <c r="C2681" s="157"/>
      <c r="D2681" s="157"/>
      <c r="E2681" s="157"/>
      <c r="F2681" s="157"/>
    </row>
    <row r="2682" spans="1:6" ht="15.75" x14ac:dyDescent="0.25">
      <c r="A2682" s="157"/>
      <c r="B2682" s="157"/>
      <c r="C2682" s="157"/>
      <c r="D2682" s="157"/>
      <c r="E2682" s="157"/>
      <c r="F2682" s="157"/>
    </row>
    <row r="2683" spans="1:6" ht="15.75" x14ac:dyDescent="0.25">
      <c r="A2683" s="157"/>
      <c r="B2683" s="157"/>
      <c r="C2683" s="157"/>
      <c r="D2683" s="157"/>
      <c r="E2683" s="157"/>
      <c r="F2683" s="157"/>
    </row>
    <row r="2684" spans="1:6" ht="15.75" x14ac:dyDescent="0.25">
      <c r="A2684" s="157"/>
      <c r="B2684" s="157"/>
      <c r="C2684" s="157"/>
      <c r="D2684" s="157"/>
      <c r="E2684" s="157"/>
      <c r="F2684" s="157"/>
    </row>
    <row r="2685" spans="1:6" ht="15.75" x14ac:dyDescent="0.25">
      <c r="A2685" s="157"/>
      <c r="B2685" s="157"/>
      <c r="C2685" s="157"/>
      <c r="D2685" s="157"/>
      <c r="E2685" s="157"/>
      <c r="F2685" s="157"/>
    </row>
    <row r="2686" spans="1:6" ht="15.75" x14ac:dyDescent="0.25">
      <c r="A2686" s="157"/>
      <c r="B2686" s="157"/>
      <c r="C2686" s="157"/>
      <c r="D2686" s="157"/>
      <c r="E2686" s="157"/>
      <c r="F2686" s="157"/>
    </row>
    <row r="2687" spans="1:6" ht="15.75" x14ac:dyDescent="0.25">
      <c r="A2687" s="157"/>
      <c r="B2687" s="157"/>
      <c r="C2687" s="157"/>
      <c r="D2687" s="157"/>
      <c r="E2687" s="157"/>
      <c r="F2687" s="157"/>
    </row>
    <row r="2688" spans="1:6" ht="15.75" x14ac:dyDescent="0.25">
      <c r="A2688" s="157"/>
      <c r="B2688" s="157"/>
      <c r="C2688" s="157"/>
      <c r="D2688" s="157"/>
      <c r="E2688" s="157"/>
      <c r="F2688" s="157"/>
    </row>
    <row r="2689" spans="1:6" ht="15.75" x14ac:dyDescent="0.25">
      <c r="A2689" s="157"/>
      <c r="B2689" s="157"/>
      <c r="C2689" s="157"/>
      <c r="D2689" s="157"/>
      <c r="E2689" s="157"/>
      <c r="F2689" s="157"/>
    </row>
    <row r="2690" spans="1:6" ht="15.75" x14ac:dyDescent="0.25">
      <c r="A2690" s="157"/>
      <c r="B2690" s="157"/>
      <c r="C2690" s="157"/>
      <c r="D2690" s="157"/>
      <c r="E2690" s="157"/>
      <c r="F2690" s="157"/>
    </row>
    <row r="2691" spans="1:6" ht="15.75" x14ac:dyDescent="0.25">
      <c r="A2691" s="157"/>
      <c r="B2691" s="157"/>
      <c r="C2691" s="157"/>
      <c r="D2691" s="157"/>
      <c r="E2691" s="157"/>
      <c r="F2691" s="157"/>
    </row>
    <row r="2692" spans="1:6" ht="15.75" x14ac:dyDescent="0.25">
      <c r="A2692" s="157"/>
      <c r="B2692" s="157"/>
      <c r="C2692" s="157"/>
      <c r="D2692" s="157"/>
      <c r="E2692" s="157"/>
      <c r="F2692" s="157"/>
    </row>
    <row r="2693" spans="1:6" ht="15.75" x14ac:dyDescent="0.25">
      <c r="A2693" s="157"/>
      <c r="B2693" s="157"/>
      <c r="C2693" s="157"/>
      <c r="D2693" s="157"/>
      <c r="E2693" s="157"/>
      <c r="F2693" s="157"/>
    </row>
    <row r="2694" spans="1:6" ht="15.75" x14ac:dyDescent="0.25">
      <c r="A2694" s="157"/>
      <c r="B2694" s="157"/>
      <c r="C2694" s="157"/>
      <c r="D2694" s="157"/>
      <c r="E2694" s="157"/>
      <c r="F2694" s="157"/>
    </row>
    <row r="2695" spans="1:6" ht="15.75" x14ac:dyDescent="0.25">
      <c r="A2695" s="157"/>
      <c r="B2695" s="157"/>
      <c r="C2695" s="157"/>
      <c r="D2695" s="157"/>
      <c r="E2695" s="157"/>
      <c r="F2695" s="157"/>
    </row>
    <row r="2696" spans="1:6" ht="15.75" x14ac:dyDescent="0.25">
      <c r="A2696" s="157"/>
      <c r="B2696" s="157"/>
      <c r="C2696" s="157"/>
      <c r="D2696" s="157"/>
      <c r="E2696" s="157"/>
      <c r="F2696" s="157"/>
    </row>
    <row r="2697" spans="1:6" ht="15.75" x14ac:dyDescent="0.25">
      <c r="A2697" s="157"/>
      <c r="B2697" s="157"/>
      <c r="C2697" s="157"/>
      <c r="D2697" s="157"/>
      <c r="E2697" s="157"/>
      <c r="F2697" s="157"/>
    </row>
    <row r="2698" spans="1:6" ht="15.75" x14ac:dyDescent="0.25">
      <c r="A2698" s="157"/>
      <c r="B2698" s="157"/>
      <c r="C2698" s="157"/>
      <c r="D2698" s="157"/>
      <c r="E2698" s="157"/>
      <c r="F2698" s="157"/>
    </row>
    <row r="2699" spans="1:6" ht="15.75" x14ac:dyDescent="0.25">
      <c r="A2699" s="157"/>
      <c r="B2699" s="157"/>
      <c r="C2699" s="157"/>
      <c r="D2699" s="157"/>
      <c r="E2699" s="157"/>
      <c r="F2699" s="157"/>
    </row>
    <row r="2700" spans="1:6" ht="15.75" x14ac:dyDescent="0.25">
      <c r="A2700" s="157"/>
      <c r="B2700" s="157"/>
      <c r="C2700" s="157"/>
      <c r="D2700" s="157"/>
      <c r="E2700" s="157"/>
      <c r="F2700" s="157"/>
    </row>
    <row r="2701" spans="1:6" ht="15.75" x14ac:dyDescent="0.25">
      <c r="A2701" s="157"/>
      <c r="B2701" s="157"/>
      <c r="C2701" s="157"/>
      <c r="D2701" s="157"/>
      <c r="E2701" s="157"/>
      <c r="F2701" s="157"/>
    </row>
    <row r="2702" spans="1:6" ht="15.75" x14ac:dyDescent="0.25">
      <c r="A2702" s="157"/>
      <c r="B2702" s="157"/>
      <c r="C2702" s="157"/>
      <c r="D2702" s="157"/>
      <c r="E2702" s="157"/>
      <c r="F2702" s="157"/>
    </row>
    <row r="2703" spans="1:6" ht="15.75" x14ac:dyDescent="0.25">
      <c r="A2703" s="157"/>
      <c r="B2703" s="157"/>
      <c r="C2703" s="157"/>
      <c r="D2703" s="157"/>
      <c r="E2703" s="157"/>
      <c r="F2703" s="157"/>
    </row>
    <row r="2704" spans="1:6" ht="15.75" x14ac:dyDescent="0.25">
      <c r="A2704" s="157"/>
      <c r="B2704" s="157"/>
      <c r="C2704" s="157"/>
      <c r="D2704" s="157"/>
      <c r="E2704" s="157"/>
      <c r="F2704" s="157"/>
    </row>
    <row r="2705" spans="1:6" ht="15.75" x14ac:dyDescent="0.25">
      <c r="A2705" s="157"/>
      <c r="B2705" s="157"/>
      <c r="C2705" s="157"/>
      <c r="D2705" s="157"/>
      <c r="E2705" s="157"/>
      <c r="F2705" s="157"/>
    </row>
    <row r="2706" spans="1:6" ht="15.75" x14ac:dyDescent="0.25">
      <c r="A2706" s="157"/>
      <c r="B2706" s="157"/>
      <c r="C2706" s="157"/>
      <c r="D2706" s="157"/>
      <c r="E2706" s="157"/>
      <c r="F2706" s="157"/>
    </row>
    <row r="2707" spans="1:6" ht="15.75" x14ac:dyDescent="0.25">
      <c r="A2707" s="157"/>
      <c r="B2707" s="157"/>
      <c r="C2707" s="157"/>
      <c r="D2707" s="157"/>
      <c r="E2707" s="157"/>
      <c r="F2707" s="157"/>
    </row>
    <row r="2708" spans="1:6" ht="15.75" x14ac:dyDescent="0.25">
      <c r="A2708" s="157"/>
      <c r="B2708" s="157"/>
      <c r="C2708" s="157"/>
      <c r="D2708" s="157"/>
      <c r="E2708" s="157"/>
      <c r="F2708" s="157"/>
    </row>
    <row r="2709" spans="1:6" ht="15.75" x14ac:dyDescent="0.25">
      <c r="A2709" s="157"/>
      <c r="B2709" s="157"/>
      <c r="C2709" s="157"/>
      <c r="D2709" s="157"/>
      <c r="E2709" s="157"/>
      <c r="F2709" s="157"/>
    </row>
    <row r="2710" spans="1:6" ht="15.75" x14ac:dyDescent="0.25">
      <c r="A2710" s="157"/>
      <c r="B2710" s="157"/>
      <c r="C2710" s="157"/>
      <c r="D2710" s="157"/>
      <c r="E2710" s="157"/>
      <c r="F2710" s="157"/>
    </row>
    <row r="2711" spans="1:6" ht="15.75" x14ac:dyDescent="0.25">
      <c r="A2711" s="157"/>
      <c r="B2711" s="157"/>
      <c r="C2711" s="157"/>
      <c r="D2711" s="157"/>
      <c r="E2711" s="157"/>
      <c r="F2711" s="157"/>
    </row>
    <row r="2712" spans="1:6" ht="15.75" x14ac:dyDescent="0.25">
      <c r="A2712" s="157"/>
      <c r="B2712" s="157"/>
      <c r="C2712" s="157"/>
      <c r="D2712" s="157"/>
      <c r="E2712" s="157"/>
      <c r="F2712" s="157"/>
    </row>
    <row r="2713" spans="1:6" ht="15.75" x14ac:dyDescent="0.25">
      <c r="A2713" s="157"/>
      <c r="B2713" s="157"/>
      <c r="C2713" s="157"/>
      <c r="D2713" s="157"/>
      <c r="E2713" s="157"/>
      <c r="F2713" s="157"/>
    </row>
    <row r="2714" spans="1:6" ht="15.75" x14ac:dyDescent="0.25">
      <c r="A2714" s="157"/>
      <c r="B2714" s="157"/>
      <c r="C2714" s="157"/>
      <c r="D2714" s="157"/>
      <c r="E2714" s="157"/>
      <c r="F2714" s="157"/>
    </row>
    <row r="2715" spans="1:6" ht="15.75" x14ac:dyDescent="0.25">
      <c r="A2715" s="157"/>
      <c r="B2715" s="157"/>
      <c r="C2715" s="157"/>
      <c r="D2715" s="157"/>
      <c r="E2715" s="157"/>
      <c r="F2715" s="157"/>
    </row>
    <row r="2716" spans="1:6" ht="15.75" x14ac:dyDescent="0.25">
      <c r="A2716" s="157"/>
      <c r="B2716" s="157"/>
      <c r="C2716" s="157"/>
      <c r="D2716" s="157"/>
      <c r="E2716" s="157"/>
      <c r="F2716" s="157"/>
    </row>
    <row r="2717" spans="1:6" ht="15.75" x14ac:dyDescent="0.25">
      <c r="A2717" s="157"/>
      <c r="B2717" s="157"/>
      <c r="C2717" s="157"/>
      <c r="D2717" s="157"/>
      <c r="E2717" s="157"/>
      <c r="F2717" s="157"/>
    </row>
    <row r="2718" spans="1:6" ht="15.75" x14ac:dyDescent="0.25">
      <c r="A2718" s="157"/>
      <c r="B2718" s="157"/>
      <c r="C2718" s="157"/>
      <c r="D2718" s="157"/>
      <c r="E2718" s="157"/>
      <c r="F2718" s="157"/>
    </row>
    <row r="2719" spans="1:6" ht="15.75" x14ac:dyDescent="0.25">
      <c r="A2719" s="157"/>
      <c r="B2719" s="157"/>
      <c r="C2719" s="157"/>
      <c r="D2719" s="157"/>
      <c r="E2719" s="157"/>
      <c r="F2719" s="157"/>
    </row>
    <row r="2720" spans="1:6" ht="15.75" x14ac:dyDescent="0.25">
      <c r="A2720" s="157"/>
      <c r="B2720" s="157"/>
      <c r="C2720" s="157"/>
      <c r="D2720" s="157"/>
      <c r="E2720" s="157"/>
      <c r="F2720" s="157"/>
    </row>
    <row r="2721" spans="1:6" ht="15.75" x14ac:dyDescent="0.25">
      <c r="A2721" s="157"/>
      <c r="B2721" s="157"/>
      <c r="C2721" s="157"/>
      <c r="D2721" s="157"/>
      <c r="E2721" s="157"/>
      <c r="F2721" s="157"/>
    </row>
    <row r="2722" spans="1:6" ht="15.75" x14ac:dyDescent="0.25">
      <c r="A2722" s="157"/>
      <c r="B2722" s="157"/>
      <c r="C2722" s="157"/>
      <c r="D2722" s="157"/>
      <c r="E2722" s="157"/>
      <c r="F2722" s="157"/>
    </row>
    <row r="2723" spans="1:6" ht="15.75" x14ac:dyDescent="0.25">
      <c r="A2723" s="157"/>
      <c r="B2723" s="157"/>
      <c r="C2723" s="157"/>
      <c r="D2723" s="157"/>
      <c r="E2723" s="157"/>
      <c r="F2723" s="157"/>
    </row>
    <row r="2724" spans="1:6" ht="15.75" x14ac:dyDescent="0.25">
      <c r="A2724" s="157"/>
      <c r="B2724" s="157"/>
      <c r="C2724" s="157"/>
      <c r="D2724" s="157"/>
      <c r="E2724" s="157"/>
      <c r="F2724" s="157"/>
    </row>
    <row r="2725" spans="1:6" ht="15.75" x14ac:dyDescent="0.25">
      <c r="A2725" s="157"/>
      <c r="B2725" s="157"/>
      <c r="C2725" s="157"/>
      <c r="D2725" s="157"/>
      <c r="E2725" s="157"/>
      <c r="F2725" s="157"/>
    </row>
    <row r="2726" spans="1:6" ht="15.75" x14ac:dyDescent="0.25">
      <c r="A2726" s="157"/>
      <c r="B2726" s="157"/>
      <c r="C2726" s="157"/>
      <c r="D2726" s="157"/>
      <c r="E2726" s="157"/>
      <c r="F2726" s="157"/>
    </row>
    <row r="2727" spans="1:6" ht="15.75" x14ac:dyDescent="0.25">
      <c r="A2727" s="157"/>
      <c r="B2727" s="157"/>
      <c r="C2727" s="157"/>
      <c r="D2727" s="157"/>
      <c r="E2727" s="157"/>
      <c r="F2727" s="157"/>
    </row>
    <row r="2728" spans="1:6" ht="15.75" x14ac:dyDescent="0.25">
      <c r="A2728" s="157"/>
      <c r="B2728" s="157"/>
      <c r="C2728" s="157"/>
      <c r="D2728" s="157"/>
      <c r="E2728" s="157"/>
      <c r="F2728" s="157"/>
    </row>
    <row r="2729" spans="1:6" ht="15.75" x14ac:dyDescent="0.25">
      <c r="A2729" s="157"/>
      <c r="B2729" s="157"/>
      <c r="C2729" s="157"/>
      <c r="D2729" s="157"/>
      <c r="E2729" s="157"/>
      <c r="F2729" s="157"/>
    </row>
    <row r="2730" spans="1:6" ht="15.75" x14ac:dyDescent="0.25">
      <c r="A2730" s="157"/>
      <c r="B2730" s="157"/>
      <c r="C2730" s="157"/>
      <c r="D2730" s="157"/>
      <c r="E2730" s="157"/>
      <c r="F2730" s="157"/>
    </row>
    <row r="2731" spans="1:6" ht="15.75" x14ac:dyDescent="0.25">
      <c r="A2731" s="157"/>
      <c r="B2731" s="157"/>
      <c r="C2731" s="157"/>
      <c r="D2731" s="157"/>
      <c r="E2731" s="157"/>
      <c r="F2731" s="157"/>
    </row>
    <row r="2732" spans="1:6" ht="15.75" x14ac:dyDescent="0.25">
      <c r="A2732" s="157"/>
      <c r="B2732" s="157"/>
      <c r="C2732" s="157"/>
      <c r="D2732" s="157"/>
      <c r="E2732" s="157"/>
      <c r="F2732" s="157"/>
    </row>
    <row r="2733" spans="1:6" ht="15.75" x14ac:dyDescent="0.25">
      <c r="A2733" s="157"/>
      <c r="B2733" s="157"/>
      <c r="C2733" s="157"/>
      <c r="D2733" s="157"/>
      <c r="E2733" s="157"/>
      <c r="F2733" s="157"/>
    </row>
    <row r="2734" spans="1:6" ht="15.75" x14ac:dyDescent="0.25">
      <c r="A2734" s="157"/>
      <c r="B2734" s="157"/>
      <c r="C2734" s="157"/>
      <c r="D2734" s="157"/>
      <c r="E2734" s="157"/>
      <c r="F2734" s="157"/>
    </row>
    <row r="2735" spans="1:6" ht="15.75" x14ac:dyDescent="0.25">
      <c r="A2735" s="157"/>
      <c r="B2735" s="157"/>
      <c r="C2735" s="157"/>
      <c r="D2735" s="157"/>
      <c r="E2735" s="157"/>
      <c r="F2735" s="157"/>
    </row>
    <row r="2736" spans="1:6" ht="15.75" x14ac:dyDescent="0.25">
      <c r="A2736" s="157"/>
      <c r="B2736" s="157"/>
      <c r="C2736" s="157"/>
      <c r="D2736" s="157"/>
      <c r="E2736" s="157"/>
      <c r="F2736" s="157"/>
    </row>
    <row r="2737" spans="1:6" ht="15.75" x14ac:dyDescent="0.25">
      <c r="A2737" s="157"/>
      <c r="B2737" s="157"/>
      <c r="C2737" s="157"/>
      <c r="D2737" s="157"/>
      <c r="E2737" s="157"/>
      <c r="F2737" s="157"/>
    </row>
    <row r="2738" spans="1:6" ht="15.75" x14ac:dyDescent="0.25">
      <c r="A2738" s="157"/>
      <c r="B2738" s="157"/>
      <c r="C2738" s="157"/>
      <c r="D2738" s="157"/>
      <c r="E2738" s="157"/>
      <c r="F2738" s="157"/>
    </row>
    <row r="2739" spans="1:6" ht="15.75" x14ac:dyDescent="0.25">
      <c r="A2739" s="157"/>
      <c r="B2739" s="157"/>
      <c r="C2739" s="157"/>
      <c r="D2739" s="157"/>
      <c r="E2739" s="157"/>
      <c r="F2739" s="157"/>
    </row>
    <row r="2740" spans="1:6" ht="15.75" x14ac:dyDescent="0.25">
      <c r="A2740" s="157"/>
      <c r="B2740" s="157"/>
      <c r="C2740" s="157"/>
      <c r="D2740" s="157"/>
      <c r="E2740" s="157"/>
      <c r="F2740" s="157"/>
    </row>
    <row r="2741" spans="1:6" ht="15.75" x14ac:dyDescent="0.25">
      <c r="A2741" s="157"/>
      <c r="B2741" s="157"/>
      <c r="C2741" s="157"/>
      <c r="D2741" s="157"/>
      <c r="E2741" s="157"/>
      <c r="F2741" s="157"/>
    </row>
    <row r="2742" spans="1:6" ht="15.75" x14ac:dyDescent="0.25">
      <c r="A2742" s="157"/>
      <c r="B2742" s="157"/>
      <c r="C2742" s="157"/>
      <c r="D2742" s="157"/>
      <c r="E2742" s="157"/>
      <c r="F2742" s="157"/>
    </row>
    <row r="2743" spans="1:6" ht="15.75" x14ac:dyDescent="0.25">
      <c r="A2743" s="157"/>
      <c r="B2743" s="157"/>
      <c r="C2743" s="157"/>
      <c r="D2743" s="157"/>
      <c r="E2743" s="157"/>
      <c r="F2743" s="157"/>
    </row>
    <row r="2744" spans="1:6" ht="15.75" x14ac:dyDescent="0.25">
      <c r="A2744" s="157"/>
      <c r="B2744" s="157"/>
      <c r="C2744" s="157"/>
      <c r="D2744" s="157"/>
      <c r="E2744" s="157"/>
      <c r="F2744" s="157"/>
    </row>
    <row r="2745" spans="1:6" ht="15.75" x14ac:dyDescent="0.25">
      <c r="A2745" s="157"/>
      <c r="B2745" s="157"/>
      <c r="C2745" s="157"/>
      <c r="D2745" s="157"/>
      <c r="E2745" s="157"/>
      <c r="F2745" s="157"/>
    </row>
    <row r="2746" spans="1:6" ht="15.75" x14ac:dyDescent="0.25">
      <c r="A2746" s="157"/>
      <c r="B2746" s="157"/>
      <c r="C2746" s="157"/>
      <c r="D2746" s="157"/>
      <c r="E2746" s="157"/>
      <c r="F2746" s="157"/>
    </row>
    <row r="2747" spans="1:6" ht="15.75" x14ac:dyDescent="0.25">
      <c r="A2747" s="157"/>
      <c r="B2747" s="157"/>
      <c r="C2747" s="157"/>
      <c r="D2747" s="157"/>
      <c r="E2747" s="157"/>
      <c r="F2747" s="157"/>
    </row>
    <row r="2748" spans="1:6" ht="15.75" x14ac:dyDescent="0.25">
      <c r="A2748" s="157"/>
      <c r="B2748" s="157"/>
      <c r="C2748" s="157"/>
      <c r="D2748" s="157"/>
      <c r="E2748" s="157"/>
      <c r="F2748" s="157"/>
    </row>
    <row r="2749" spans="1:6" ht="15.75" x14ac:dyDescent="0.25">
      <c r="A2749" s="157"/>
      <c r="B2749" s="157"/>
      <c r="C2749" s="157"/>
      <c r="D2749" s="157"/>
      <c r="E2749" s="157"/>
      <c r="F2749" s="157"/>
    </row>
    <row r="2750" spans="1:6" ht="15.75" x14ac:dyDescent="0.25">
      <c r="A2750" s="157"/>
      <c r="B2750" s="157"/>
      <c r="C2750" s="157"/>
      <c r="D2750" s="157"/>
      <c r="E2750" s="157"/>
      <c r="F2750" s="157"/>
    </row>
    <row r="2751" spans="1:6" ht="15.75" x14ac:dyDescent="0.25">
      <c r="A2751" s="157"/>
      <c r="B2751" s="157"/>
      <c r="C2751" s="157"/>
      <c r="D2751" s="157"/>
      <c r="E2751" s="157"/>
      <c r="F2751" s="157"/>
    </row>
    <row r="2752" spans="1:6" ht="15.75" x14ac:dyDescent="0.25">
      <c r="A2752" s="157"/>
      <c r="B2752" s="157"/>
      <c r="C2752" s="157"/>
      <c r="D2752" s="157"/>
      <c r="E2752" s="157"/>
      <c r="F2752" s="157"/>
    </row>
    <row r="2753" spans="1:6" ht="15.75" x14ac:dyDescent="0.25">
      <c r="A2753" s="157"/>
      <c r="B2753" s="157"/>
      <c r="C2753" s="157"/>
      <c r="D2753" s="157"/>
      <c r="E2753" s="157"/>
      <c r="F2753" s="157"/>
    </row>
    <row r="2754" spans="1:6" ht="15.75" x14ac:dyDescent="0.25">
      <c r="A2754" s="157"/>
      <c r="B2754" s="157"/>
      <c r="C2754" s="157"/>
      <c r="D2754" s="157"/>
      <c r="E2754" s="157"/>
      <c r="F2754" s="157"/>
    </row>
    <row r="2755" spans="1:6" ht="15.75" x14ac:dyDescent="0.25">
      <c r="A2755" s="157"/>
      <c r="B2755" s="157"/>
      <c r="C2755" s="157"/>
      <c r="D2755" s="157"/>
      <c r="E2755" s="157"/>
      <c r="F2755" s="157"/>
    </row>
    <row r="2756" spans="1:6" ht="15.75" x14ac:dyDescent="0.25">
      <c r="A2756" s="157"/>
      <c r="B2756" s="157"/>
      <c r="C2756" s="157"/>
      <c r="D2756" s="157"/>
      <c r="E2756" s="157"/>
      <c r="F2756" s="157"/>
    </row>
    <row r="2757" spans="1:6" ht="15.75" x14ac:dyDescent="0.25">
      <c r="A2757" s="157"/>
      <c r="B2757" s="157"/>
      <c r="C2757" s="157"/>
      <c r="D2757" s="157"/>
      <c r="E2757" s="157"/>
      <c r="F2757" s="157"/>
    </row>
    <row r="2758" spans="1:6" ht="15.75" x14ac:dyDescent="0.25">
      <c r="A2758" s="157"/>
      <c r="B2758" s="157"/>
      <c r="C2758" s="157"/>
      <c r="D2758" s="157"/>
      <c r="E2758" s="157"/>
      <c r="F2758" s="157"/>
    </row>
    <row r="2759" spans="1:6" ht="15.75" x14ac:dyDescent="0.25">
      <c r="A2759" s="157"/>
      <c r="B2759" s="157"/>
      <c r="C2759" s="157"/>
      <c r="D2759" s="157"/>
      <c r="E2759" s="157"/>
      <c r="F2759" s="157"/>
    </row>
    <row r="2760" spans="1:6" ht="15.75" x14ac:dyDescent="0.25">
      <c r="A2760" s="157"/>
      <c r="B2760" s="157"/>
      <c r="C2760" s="157"/>
      <c r="D2760" s="157"/>
      <c r="E2760" s="157"/>
      <c r="F2760" s="157"/>
    </row>
    <row r="2761" spans="1:6" ht="15.75" x14ac:dyDescent="0.25">
      <c r="A2761" s="157"/>
      <c r="B2761" s="157"/>
      <c r="C2761" s="157"/>
      <c r="D2761" s="157"/>
      <c r="E2761" s="157"/>
      <c r="F2761" s="157"/>
    </row>
    <row r="2762" spans="1:6" ht="15.75" x14ac:dyDescent="0.25">
      <c r="A2762" s="157"/>
      <c r="B2762" s="157"/>
      <c r="C2762" s="157"/>
      <c r="D2762" s="157"/>
      <c r="E2762" s="157"/>
      <c r="F2762" s="157"/>
    </row>
    <row r="2763" spans="1:6" ht="15.75" x14ac:dyDescent="0.25">
      <c r="A2763" s="157"/>
      <c r="B2763" s="157"/>
      <c r="C2763" s="157"/>
      <c r="D2763" s="157"/>
      <c r="E2763" s="157"/>
      <c r="F2763" s="157"/>
    </row>
    <row r="2764" spans="1:6" ht="15.75" x14ac:dyDescent="0.25">
      <c r="A2764" s="157"/>
      <c r="B2764" s="157"/>
      <c r="C2764" s="157"/>
      <c r="D2764" s="157"/>
      <c r="E2764" s="157"/>
      <c r="F2764" s="157"/>
    </row>
    <row r="2765" spans="1:6" ht="15.75" x14ac:dyDescent="0.25">
      <c r="A2765" s="157"/>
      <c r="B2765" s="157"/>
      <c r="C2765" s="157"/>
      <c r="D2765" s="157"/>
      <c r="E2765" s="157"/>
      <c r="F2765" s="157"/>
    </row>
    <row r="2766" spans="1:6" ht="15.75" x14ac:dyDescent="0.25">
      <c r="A2766" s="157"/>
      <c r="B2766" s="157"/>
      <c r="C2766" s="157"/>
      <c r="D2766" s="157"/>
      <c r="E2766" s="157"/>
      <c r="F2766" s="157"/>
    </row>
    <row r="2767" spans="1:6" ht="15.75" x14ac:dyDescent="0.25">
      <c r="A2767" s="157"/>
      <c r="B2767" s="157"/>
      <c r="C2767" s="157"/>
      <c r="D2767" s="157"/>
      <c r="E2767" s="157"/>
      <c r="F2767" s="157"/>
    </row>
    <row r="2768" spans="1:6" ht="15.75" x14ac:dyDescent="0.25">
      <c r="A2768" s="157"/>
      <c r="B2768" s="157"/>
      <c r="C2768" s="157"/>
      <c r="D2768" s="157"/>
      <c r="E2768" s="157"/>
      <c r="F2768" s="157"/>
    </row>
    <row r="2769" spans="1:6" ht="15.75" x14ac:dyDescent="0.25">
      <c r="A2769" s="157"/>
      <c r="B2769" s="157"/>
      <c r="C2769" s="157"/>
      <c r="D2769" s="157"/>
      <c r="E2769" s="157"/>
      <c r="F2769" s="157"/>
    </row>
    <row r="2770" spans="1:6" ht="15.75" x14ac:dyDescent="0.25">
      <c r="A2770" s="157"/>
      <c r="B2770" s="157"/>
      <c r="C2770" s="157"/>
      <c r="D2770" s="157"/>
      <c r="E2770" s="157"/>
      <c r="F2770" s="157"/>
    </row>
    <row r="2771" spans="1:6" ht="15.75" x14ac:dyDescent="0.25">
      <c r="A2771" s="157"/>
      <c r="B2771" s="157"/>
      <c r="C2771" s="157"/>
      <c r="D2771" s="157"/>
      <c r="E2771" s="157"/>
      <c r="F2771" s="157"/>
    </row>
    <row r="2772" spans="1:6" ht="15.75" x14ac:dyDescent="0.25">
      <c r="A2772" s="157"/>
      <c r="B2772" s="157"/>
      <c r="C2772" s="157"/>
      <c r="D2772" s="157"/>
      <c r="E2772" s="157"/>
      <c r="F2772" s="157"/>
    </row>
    <row r="2773" spans="1:6" ht="15.75" x14ac:dyDescent="0.25">
      <c r="A2773" s="157"/>
      <c r="B2773" s="157"/>
      <c r="C2773" s="157"/>
      <c r="D2773" s="157"/>
      <c r="E2773" s="157"/>
      <c r="F2773" s="157"/>
    </row>
    <row r="2774" spans="1:6" ht="15.75" x14ac:dyDescent="0.25">
      <c r="A2774" s="157"/>
      <c r="B2774" s="157"/>
      <c r="C2774" s="157"/>
      <c r="D2774" s="157"/>
      <c r="E2774" s="157"/>
      <c r="F2774" s="157"/>
    </row>
    <row r="2775" spans="1:6" ht="15.75" x14ac:dyDescent="0.25">
      <c r="A2775" s="157"/>
      <c r="B2775" s="157"/>
      <c r="C2775" s="157"/>
      <c r="D2775" s="157"/>
      <c r="E2775" s="157"/>
      <c r="F2775" s="157"/>
    </row>
    <row r="2776" spans="1:6" ht="15.75" x14ac:dyDescent="0.25">
      <c r="A2776" s="157"/>
      <c r="B2776" s="157"/>
      <c r="C2776" s="157"/>
      <c r="D2776" s="157"/>
      <c r="E2776" s="157"/>
      <c r="F2776" s="157"/>
    </row>
    <row r="2777" spans="1:6" ht="15.75" x14ac:dyDescent="0.25">
      <c r="A2777" s="157"/>
      <c r="B2777" s="157"/>
      <c r="C2777" s="157"/>
      <c r="D2777" s="157"/>
      <c r="E2777" s="157"/>
      <c r="F2777" s="157"/>
    </row>
    <row r="2778" spans="1:6" ht="15.75" x14ac:dyDescent="0.25">
      <c r="A2778" s="157"/>
      <c r="B2778" s="157"/>
      <c r="C2778" s="157"/>
      <c r="D2778" s="157"/>
      <c r="E2778" s="157"/>
      <c r="F2778" s="157"/>
    </row>
    <row r="2779" spans="1:6" ht="15.75" x14ac:dyDescent="0.25">
      <c r="A2779" s="157"/>
      <c r="B2779" s="157"/>
      <c r="C2779" s="157"/>
      <c r="D2779" s="157"/>
      <c r="E2779" s="157"/>
      <c r="F2779" s="157"/>
    </row>
    <row r="2780" spans="1:6" ht="15.75" x14ac:dyDescent="0.25">
      <c r="A2780" s="157"/>
      <c r="B2780" s="157"/>
      <c r="C2780" s="157"/>
      <c r="D2780" s="157"/>
      <c r="E2780" s="157"/>
      <c r="F2780" s="157"/>
    </row>
    <row r="2781" spans="1:6" ht="15.75" x14ac:dyDescent="0.25">
      <c r="A2781" s="157"/>
      <c r="B2781" s="157"/>
      <c r="C2781" s="157"/>
      <c r="D2781" s="157"/>
      <c r="E2781" s="157"/>
      <c r="F2781" s="157"/>
    </row>
    <row r="2782" spans="1:6" ht="15.75" x14ac:dyDescent="0.25">
      <c r="A2782" s="157"/>
      <c r="B2782" s="157"/>
      <c r="C2782" s="157"/>
      <c r="D2782" s="157"/>
      <c r="E2782" s="157"/>
      <c r="F2782" s="157"/>
    </row>
    <row r="2783" spans="1:6" ht="15.75" x14ac:dyDescent="0.25">
      <c r="A2783" s="157"/>
      <c r="B2783" s="157"/>
      <c r="C2783" s="157"/>
      <c r="D2783" s="157"/>
      <c r="E2783" s="157"/>
      <c r="F2783" s="157"/>
    </row>
    <row r="2784" spans="1:6" ht="15.75" x14ac:dyDescent="0.25">
      <c r="A2784" s="157"/>
      <c r="B2784" s="157"/>
      <c r="C2784" s="157"/>
      <c r="D2784" s="157"/>
      <c r="E2784" s="157"/>
      <c r="F2784" s="157"/>
    </row>
    <row r="2785" spans="1:6" ht="15.75" x14ac:dyDescent="0.25">
      <c r="A2785" s="157"/>
      <c r="B2785" s="157"/>
      <c r="C2785" s="157"/>
      <c r="D2785" s="157"/>
      <c r="E2785" s="157"/>
      <c r="F2785" s="157"/>
    </row>
    <row r="2786" spans="1:6" ht="15.75" x14ac:dyDescent="0.25">
      <c r="A2786" s="157"/>
      <c r="B2786" s="157"/>
      <c r="C2786" s="157"/>
      <c r="D2786" s="157"/>
      <c r="E2786" s="157"/>
      <c r="F2786" s="157"/>
    </row>
    <row r="2787" spans="1:6" ht="15.75" x14ac:dyDescent="0.25">
      <c r="A2787" s="157"/>
      <c r="B2787" s="157"/>
      <c r="C2787" s="157"/>
      <c r="D2787" s="157"/>
      <c r="E2787" s="157"/>
      <c r="F2787" s="157"/>
    </row>
    <row r="2788" spans="1:6" ht="15.75" x14ac:dyDescent="0.25">
      <c r="A2788" s="157"/>
      <c r="B2788" s="157"/>
      <c r="C2788" s="157"/>
      <c r="D2788" s="157"/>
      <c r="E2788" s="157"/>
      <c r="F2788" s="157"/>
    </row>
    <row r="2789" spans="1:6" ht="15.75" x14ac:dyDescent="0.25">
      <c r="A2789" s="157"/>
      <c r="B2789" s="157"/>
      <c r="C2789" s="157"/>
      <c r="D2789" s="157"/>
      <c r="E2789" s="157"/>
      <c r="F2789" s="157"/>
    </row>
    <row r="2790" spans="1:6" ht="15.75" x14ac:dyDescent="0.25">
      <c r="A2790" s="157"/>
      <c r="B2790" s="157"/>
      <c r="C2790" s="157"/>
      <c r="D2790" s="157"/>
      <c r="E2790" s="157"/>
      <c r="F2790" s="157"/>
    </row>
    <row r="2791" spans="1:6" ht="15.75" x14ac:dyDescent="0.25">
      <c r="A2791" s="157"/>
      <c r="B2791" s="157"/>
      <c r="C2791" s="157"/>
      <c r="D2791" s="157"/>
      <c r="E2791" s="157"/>
      <c r="F2791" s="157"/>
    </row>
    <row r="2792" spans="1:6" ht="15.75" x14ac:dyDescent="0.25">
      <c r="A2792" s="157"/>
      <c r="B2792" s="157"/>
      <c r="C2792" s="157"/>
      <c r="D2792" s="157"/>
      <c r="E2792" s="157"/>
      <c r="F2792" s="157"/>
    </row>
    <row r="2793" spans="1:6" ht="15.75" x14ac:dyDescent="0.25">
      <c r="A2793" s="157"/>
      <c r="B2793" s="157"/>
      <c r="C2793" s="157"/>
      <c r="D2793" s="157"/>
      <c r="E2793" s="157"/>
      <c r="F2793" s="157"/>
    </row>
    <row r="2794" spans="1:6" ht="15.75" x14ac:dyDescent="0.25">
      <c r="A2794" s="157"/>
      <c r="B2794" s="157"/>
      <c r="C2794" s="157"/>
      <c r="D2794" s="157"/>
      <c r="E2794" s="157"/>
      <c r="F2794" s="157"/>
    </row>
    <row r="2795" spans="1:6" ht="15.75" x14ac:dyDescent="0.25">
      <c r="A2795" s="157"/>
      <c r="B2795" s="157"/>
      <c r="C2795" s="157"/>
      <c r="D2795" s="157"/>
      <c r="E2795" s="157"/>
      <c r="F2795" s="157"/>
    </row>
    <row r="2796" spans="1:6" ht="15.75" x14ac:dyDescent="0.25">
      <c r="A2796" s="157"/>
      <c r="B2796" s="157"/>
      <c r="C2796" s="157"/>
      <c r="D2796" s="157"/>
      <c r="E2796" s="157"/>
      <c r="F2796" s="157"/>
    </row>
    <row r="2797" spans="1:6" ht="15.75" x14ac:dyDescent="0.25">
      <c r="A2797" s="157"/>
      <c r="B2797" s="157"/>
      <c r="C2797" s="157"/>
      <c r="D2797" s="157"/>
      <c r="E2797" s="157"/>
      <c r="F2797" s="157"/>
    </row>
    <row r="2798" spans="1:6" ht="15.75" x14ac:dyDescent="0.25">
      <c r="A2798" s="157"/>
      <c r="B2798" s="157"/>
      <c r="C2798" s="157"/>
      <c r="D2798" s="157"/>
      <c r="E2798" s="157"/>
      <c r="F2798" s="157"/>
    </row>
    <row r="2799" spans="1:6" ht="15.75" x14ac:dyDescent="0.25">
      <c r="A2799" s="157"/>
      <c r="B2799" s="157"/>
      <c r="C2799" s="157"/>
      <c r="D2799" s="157"/>
      <c r="E2799" s="157"/>
      <c r="F2799" s="157"/>
    </row>
    <row r="2800" spans="1:6" ht="15.75" x14ac:dyDescent="0.25">
      <c r="A2800" s="157"/>
      <c r="B2800" s="157"/>
      <c r="C2800" s="157"/>
      <c r="D2800" s="157"/>
      <c r="E2800" s="157"/>
      <c r="F2800" s="157"/>
    </row>
    <row r="2801" spans="1:6" ht="15.75" x14ac:dyDescent="0.25">
      <c r="A2801" s="157"/>
      <c r="B2801" s="157"/>
      <c r="C2801" s="157"/>
      <c r="D2801" s="157"/>
      <c r="E2801" s="157"/>
      <c r="F2801" s="157"/>
    </row>
    <row r="2802" spans="1:6" ht="15.75" x14ac:dyDescent="0.25">
      <c r="A2802" s="157"/>
      <c r="B2802" s="157"/>
      <c r="C2802" s="157"/>
      <c r="D2802" s="157"/>
      <c r="E2802" s="157"/>
      <c r="F2802" s="157"/>
    </row>
    <row r="2803" spans="1:6" ht="15.75" x14ac:dyDescent="0.25">
      <c r="A2803" s="157"/>
      <c r="B2803" s="157"/>
      <c r="C2803" s="157"/>
      <c r="D2803" s="157"/>
      <c r="E2803" s="157"/>
      <c r="F2803" s="157"/>
    </row>
    <row r="2804" spans="1:6" ht="15.75" x14ac:dyDescent="0.25">
      <c r="A2804" s="157"/>
      <c r="B2804" s="157"/>
      <c r="C2804" s="157"/>
      <c r="D2804" s="157"/>
      <c r="E2804" s="157"/>
      <c r="F2804" s="157"/>
    </row>
    <row r="2805" spans="1:6" ht="15.75" x14ac:dyDescent="0.25">
      <c r="A2805" s="157"/>
      <c r="B2805" s="157"/>
      <c r="C2805" s="157"/>
      <c r="D2805" s="157"/>
      <c r="E2805" s="157"/>
      <c r="F2805" s="157"/>
    </row>
    <row r="2806" spans="1:6" ht="15.75" x14ac:dyDescent="0.25">
      <c r="A2806" s="157"/>
      <c r="B2806" s="157"/>
      <c r="C2806" s="157"/>
      <c r="D2806" s="157"/>
      <c r="E2806" s="157"/>
      <c r="F2806" s="157"/>
    </row>
    <row r="2807" spans="1:6" ht="15.75" x14ac:dyDescent="0.25">
      <c r="A2807" s="157"/>
      <c r="B2807" s="157"/>
      <c r="C2807" s="157"/>
      <c r="D2807" s="157"/>
      <c r="E2807" s="157"/>
      <c r="F2807" s="157"/>
    </row>
    <row r="2808" spans="1:6" ht="15.75" x14ac:dyDescent="0.25">
      <c r="A2808" s="157"/>
      <c r="B2808" s="157"/>
      <c r="C2808" s="157"/>
      <c r="D2808" s="157"/>
      <c r="E2808" s="157"/>
      <c r="F2808" s="157"/>
    </row>
    <row r="2809" spans="1:6" ht="15.75" x14ac:dyDescent="0.25">
      <c r="A2809" s="157"/>
      <c r="B2809" s="157"/>
      <c r="C2809" s="157"/>
      <c r="D2809" s="157"/>
      <c r="E2809" s="157"/>
      <c r="F2809" s="157"/>
    </row>
    <row r="2810" spans="1:6" ht="15.75" x14ac:dyDescent="0.25">
      <c r="A2810" s="157"/>
      <c r="B2810" s="157"/>
      <c r="C2810" s="157"/>
      <c r="D2810" s="157"/>
      <c r="E2810" s="157"/>
      <c r="F2810" s="157"/>
    </row>
    <row r="2811" spans="1:6" ht="15.75" x14ac:dyDescent="0.25">
      <c r="A2811" s="157"/>
      <c r="B2811" s="157"/>
      <c r="C2811" s="157"/>
      <c r="D2811" s="157"/>
      <c r="E2811" s="157"/>
      <c r="F2811" s="157"/>
    </row>
    <row r="2812" spans="1:6" ht="15.75" x14ac:dyDescent="0.25">
      <c r="A2812" s="157"/>
      <c r="B2812" s="157"/>
      <c r="C2812" s="157"/>
      <c r="D2812" s="157"/>
      <c r="E2812" s="157"/>
      <c r="F2812" s="157"/>
    </row>
    <row r="2813" spans="1:6" ht="15.75" x14ac:dyDescent="0.25">
      <c r="A2813" s="157"/>
      <c r="B2813" s="157"/>
      <c r="C2813" s="157"/>
      <c r="D2813" s="157"/>
      <c r="E2813" s="157"/>
      <c r="F2813" s="157"/>
    </row>
    <row r="2814" spans="1:6" ht="15.75" x14ac:dyDescent="0.25">
      <c r="A2814" s="157"/>
      <c r="B2814" s="157"/>
      <c r="C2814" s="157"/>
      <c r="D2814" s="157"/>
      <c r="E2814" s="157"/>
      <c r="F2814" s="157"/>
    </row>
    <row r="2815" spans="1:6" ht="15.75" x14ac:dyDescent="0.25">
      <c r="A2815" s="157"/>
      <c r="B2815" s="157"/>
      <c r="C2815" s="157"/>
      <c r="D2815" s="157"/>
      <c r="E2815" s="157"/>
      <c r="F2815" s="157"/>
    </row>
    <row r="2816" spans="1:6" ht="15.75" x14ac:dyDescent="0.25">
      <c r="A2816" s="157"/>
      <c r="B2816" s="157"/>
      <c r="C2816" s="157"/>
      <c r="D2816" s="157"/>
      <c r="E2816" s="157"/>
      <c r="F2816" s="157"/>
    </row>
    <row r="2817" spans="1:6" ht="15.75" x14ac:dyDescent="0.25">
      <c r="A2817" s="157"/>
      <c r="B2817" s="157"/>
      <c r="C2817" s="157"/>
      <c r="D2817" s="157"/>
      <c r="E2817" s="157"/>
      <c r="F2817" s="157"/>
    </row>
    <row r="2818" spans="1:6" ht="15.75" x14ac:dyDescent="0.25">
      <c r="A2818" s="157"/>
      <c r="B2818" s="157"/>
      <c r="C2818" s="157"/>
      <c r="D2818" s="157"/>
      <c r="E2818" s="157"/>
      <c r="F2818" s="157"/>
    </row>
    <row r="2819" spans="1:6" ht="15.75" x14ac:dyDescent="0.25">
      <c r="A2819" s="157"/>
      <c r="B2819" s="157"/>
      <c r="C2819" s="157"/>
      <c r="D2819" s="157"/>
      <c r="E2819" s="157"/>
      <c r="F2819" s="157"/>
    </row>
    <row r="2820" spans="1:6" ht="15.75" x14ac:dyDescent="0.25">
      <c r="A2820" s="157"/>
      <c r="B2820" s="157"/>
      <c r="C2820" s="157"/>
      <c r="D2820" s="157"/>
      <c r="E2820" s="157"/>
      <c r="F2820" s="157"/>
    </row>
    <row r="2821" spans="1:6" ht="15.75" x14ac:dyDescent="0.25">
      <c r="A2821" s="157"/>
      <c r="B2821" s="157"/>
      <c r="C2821" s="157"/>
      <c r="D2821" s="157"/>
      <c r="E2821" s="157"/>
      <c r="F2821" s="157"/>
    </row>
    <row r="2822" spans="1:6" ht="15.75" x14ac:dyDescent="0.25">
      <c r="A2822" s="157"/>
      <c r="B2822" s="157"/>
      <c r="C2822" s="157"/>
      <c r="D2822" s="157"/>
      <c r="E2822" s="157"/>
      <c r="F2822" s="157"/>
    </row>
    <row r="2823" spans="1:6" ht="15.75" x14ac:dyDescent="0.25">
      <c r="A2823" s="157"/>
      <c r="B2823" s="157"/>
      <c r="C2823" s="157"/>
      <c r="D2823" s="157"/>
      <c r="E2823" s="157"/>
      <c r="F2823" s="157"/>
    </row>
    <row r="2824" spans="1:6" ht="15.75" x14ac:dyDescent="0.25">
      <c r="A2824" s="157"/>
      <c r="B2824" s="157"/>
      <c r="C2824" s="157"/>
      <c r="D2824" s="157"/>
      <c r="E2824" s="157"/>
      <c r="F2824" s="157"/>
    </row>
    <row r="2825" spans="1:6" ht="15.75" x14ac:dyDescent="0.25">
      <c r="A2825" s="157"/>
      <c r="B2825" s="157"/>
      <c r="C2825" s="157"/>
      <c r="D2825" s="157"/>
      <c r="E2825" s="157"/>
      <c r="F2825" s="157"/>
    </row>
    <row r="2826" spans="1:6" ht="15.75" x14ac:dyDescent="0.25">
      <c r="A2826" s="157"/>
      <c r="B2826" s="157"/>
      <c r="C2826" s="157"/>
      <c r="D2826" s="157"/>
      <c r="E2826" s="157"/>
      <c r="F2826" s="157"/>
    </row>
    <row r="2827" spans="1:6" ht="15.75" x14ac:dyDescent="0.25">
      <c r="A2827" s="157"/>
      <c r="B2827" s="157"/>
      <c r="C2827" s="157"/>
      <c r="D2827" s="157"/>
      <c r="E2827" s="157"/>
      <c r="F2827" s="157"/>
    </row>
    <row r="2828" spans="1:6" ht="15.75" x14ac:dyDescent="0.25">
      <c r="A2828" s="157"/>
      <c r="B2828" s="157"/>
      <c r="C2828" s="157"/>
      <c r="D2828" s="157"/>
      <c r="E2828" s="157"/>
      <c r="F2828" s="157"/>
    </row>
    <row r="2829" spans="1:6" ht="15.75" x14ac:dyDescent="0.25">
      <c r="A2829" s="157"/>
      <c r="B2829" s="157"/>
      <c r="C2829" s="157"/>
      <c r="D2829" s="157"/>
      <c r="E2829" s="157"/>
      <c r="F2829" s="157"/>
    </row>
    <row r="2830" spans="1:6" ht="15.75" x14ac:dyDescent="0.25">
      <c r="A2830" s="157"/>
      <c r="B2830" s="157"/>
      <c r="C2830" s="157"/>
      <c r="D2830" s="157"/>
      <c r="E2830" s="157"/>
      <c r="F2830" s="157"/>
    </row>
    <row r="2831" spans="1:6" ht="15.75" x14ac:dyDescent="0.25">
      <c r="A2831" s="157"/>
      <c r="B2831" s="157"/>
      <c r="C2831" s="157"/>
      <c r="D2831" s="157"/>
      <c r="E2831" s="157"/>
      <c r="F2831" s="157"/>
    </row>
    <row r="2832" spans="1:6" ht="15.75" x14ac:dyDescent="0.25">
      <c r="A2832" s="157"/>
      <c r="B2832" s="157"/>
      <c r="C2832" s="157"/>
      <c r="D2832" s="157"/>
      <c r="E2832" s="157"/>
      <c r="F2832" s="157"/>
    </row>
  </sheetData>
  <mergeCells count="67">
    <mergeCell ref="B118:G118"/>
    <mergeCell ref="B117:G117"/>
    <mergeCell ref="B112:G112"/>
    <mergeCell ref="B113:G113"/>
    <mergeCell ref="B114:G114"/>
    <mergeCell ref="B115:G115"/>
    <mergeCell ref="B116:G116"/>
    <mergeCell ref="A10:C10"/>
    <mergeCell ref="A3:B3"/>
    <mergeCell ref="A85:C85"/>
    <mergeCell ref="A86:G86"/>
    <mergeCell ref="A16:F16"/>
    <mergeCell ref="B14:F14"/>
    <mergeCell ref="B15:F15"/>
    <mergeCell ref="A5:B5"/>
    <mergeCell ref="B11:F11"/>
    <mergeCell ref="B12:F12"/>
    <mergeCell ref="B13:F13"/>
    <mergeCell ref="A61:G61"/>
    <mergeCell ref="A82:G83"/>
    <mergeCell ref="A66:C66"/>
    <mergeCell ref="A67:G67"/>
    <mergeCell ref="A69:C69"/>
    <mergeCell ref="A1:G1"/>
    <mergeCell ref="A63:C63"/>
    <mergeCell ref="A64:G64"/>
    <mergeCell ref="B57:C57"/>
    <mergeCell ref="A51:G51"/>
    <mergeCell ref="A7:G7"/>
    <mergeCell ref="A9:G9"/>
    <mergeCell ref="A41:G41"/>
    <mergeCell ref="A59:G59"/>
    <mergeCell ref="B52:C52"/>
    <mergeCell ref="B53:C53"/>
    <mergeCell ref="B54:C54"/>
    <mergeCell ref="B55:C55"/>
    <mergeCell ref="B56:C56"/>
    <mergeCell ref="C3:G3"/>
    <mergeCell ref="C5:G5"/>
    <mergeCell ref="A78:C78"/>
    <mergeCell ref="A79:G79"/>
    <mergeCell ref="A81:C81"/>
    <mergeCell ref="B100:G100"/>
    <mergeCell ref="A88:C88"/>
    <mergeCell ref="A89:G89"/>
    <mergeCell ref="A91:G91"/>
    <mergeCell ref="A70:G70"/>
    <mergeCell ref="A72:C72"/>
    <mergeCell ref="A73:G73"/>
    <mergeCell ref="A75:C75"/>
    <mergeCell ref="A76:G76"/>
    <mergeCell ref="B122:G122"/>
    <mergeCell ref="B104:G104"/>
    <mergeCell ref="B106:G106"/>
    <mergeCell ref="A98:G98"/>
    <mergeCell ref="B101:G101"/>
    <mergeCell ref="B102:G102"/>
    <mergeCell ref="B103:G103"/>
    <mergeCell ref="B105:G105"/>
    <mergeCell ref="B121:G121"/>
    <mergeCell ref="B107:G107"/>
    <mergeCell ref="B108:G108"/>
    <mergeCell ref="B109:G109"/>
    <mergeCell ref="B110:G110"/>
    <mergeCell ref="B111:G111"/>
    <mergeCell ref="B120:G120"/>
    <mergeCell ref="B119:G119"/>
  </mergeCells>
  <conditionalFormatting sqref="A93">
    <cfRule type="expression" dxfId="387" priority="1">
      <formula>A93=0</formula>
    </cfRule>
    <cfRule type="expression" dxfId="386" priority="2">
      <formula>A93&lt;0.01</formula>
    </cfRule>
    <cfRule type="expression" dxfId="385" priority="3">
      <formula>A93&lt;0.1</formula>
    </cfRule>
    <cfRule type="expression" dxfId="384" priority="4">
      <formula>A93&lt;1</formula>
    </cfRule>
    <cfRule type="expression" dxfId="383" priority="5">
      <formula>A93&lt;10</formula>
    </cfRule>
    <cfRule type="expression" dxfId="382" priority="6">
      <formula>A93&gt;10</formula>
    </cfRule>
  </conditionalFormatting>
  <hyperlinks>
    <hyperlink ref="A63:C63" location="'case results'!A1" display="Case results"/>
    <hyperlink ref="A66:C66" location="'EF per step'!A1" display="EF per step"/>
    <hyperlink ref="A69:C69" location="'Data input and defaults'!A1" display="Work sheet: 'Data input and defaults'"/>
    <hyperlink ref="A72:C72" location="'Regional data'!A1" display="Work sheet: 'Regional dat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N159"/>
  <sheetViews>
    <sheetView zoomScale="80" zoomScaleNormal="80" zoomScaleSheetLayoutView="55" workbookViewId="0">
      <selection sqref="A1:G1"/>
    </sheetView>
  </sheetViews>
  <sheetFormatPr baseColWidth="10" defaultRowHeight="15" x14ac:dyDescent="0.25"/>
  <cols>
    <col min="1" max="1" width="3.42578125" customWidth="1"/>
    <col min="2" max="2" width="18.7109375" style="51" bestFit="1" customWidth="1"/>
    <col min="3" max="3" width="14.140625" bestFit="1" customWidth="1"/>
    <col min="4" max="4" width="16.42578125" bestFit="1" customWidth="1"/>
    <col min="5" max="5" width="14.140625" bestFit="1" customWidth="1"/>
    <col min="6" max="6" width="11.42578125" customWidth="1"/>
    <col min="7" max="7" width="27.140625" bestFit="1" customWidth="1"/>
    <col min="8" max="8" width="22.5703125" bestFit="1" customWidth="1"/>
    <col min="9" max="11" width="13.42578125" customWidth="1"/>
    <col min="12" max="12" width="14.28515625" customWidth="1"/>
    <col min="13" max="13" width="15.42578125" customWidth="1"/>
    <col min="14" max="14" width="14.28515625" customWidth="1"/>
    <col min="15" max="15" width="18.7109375" bestFit="1" customWidth="1"/>
    <col min="16" max="16" width="16.28515625" bestFit="1" customWidth="1"/>
    <col min="17" max="17" width="16.42578125" bestFit="1" customWidth="1"/>
    <col min="18" max="20" width="19.42578125" customWidth="1"/>
    <col min="21" max="24" width="14.28515625" customWidth="1"/>
    <col min="25" max="25" width="15.85546875" customWidth="1"/>
    <col min="26" max="26" width="14.28515625" customWidth="1"/>
    <col min="27" max="27" width="18.7109375" bestFit="1" customWidth="1"/>
    <col min="28" max="28" width="17.85546875" customWidth="1"/>
    <col min="29" max="29" width="16.42578125" bestFit="1" customWidth="1"/>
    <col min="30" max="30" width="13.5703125" bestFit="1" customWidth="1"/>
    <col min="31" max="36" width="14" customWidth="1"/>
    <col min="37" max="37" width="15.140625" customWidth="1"/>
    <col min="38" max="38" width="14" customWidth="1"/>
    <col min="39" max="44" width="17" customWidth="1"/>
  </cols>
  <sheetData>
    <row r="1" spans="1:7" s="51" customFormat="1" x14ac:dyDescent="0.25">
      <c r="A1" s="309" t="s">
        <v>273</v>
      </c>
      <c r="B1" s="309"/>
      <c r="C1" s="309"/>
      <c r="D1" s="309"/>
      <c r="E1" s="309"/>
      <c r="F1" s="309"/>
      <c r="G1" s="309"/>
    </row>
    <row r="2" spans="1:7" s="51" customFormat="1" ht="21.75" customHeight="1" x14ac:dyDescent="0.25"/>
    <row r="3" spans="1:7" s="51" customFormat="1" ht="15" customHeight="1" x14ac:dyDescent="0.25">
      <c r="B3" s="64" t="s">
        <v>123</v>
      </c>
    </row>
    <row r="4" spans="1:7" s="51" customFormat="1" x14ac:dyDescent="0.25">
      <c r="B4" s="346" t="s">
        <v>448</v>
      </c>
      <c r="C4" s="346"/>
      <c r="D4" s="346"/>
      <c r="E4" s="346"/>
      <c r="F4" s="346"/>
      <c r="G4" s="346"/>
    </row>
    <row r="5" spans="1:7" s="51" customFormat="1" x14ac:dyDescent="0.25">
      <c r="B5" s="346"/>
      <c r="C5" s="346"/>
      <c r="D5" s="346"/>
      <c r="E5" s="346"/>
      <c r="F5" s="346"/>
      <c r="G5" s="346"/>
    </row>
    <row r="6" spans="1:7" s="51" customFormat="1" x14ac:dyDescent="0.25">
      <c r="B6" s="346"/>
      <c r="C6" s="346"/>
      <c r="D6" s="346"/>
      <c r="E6" s="346"/>
      <c r="F6" s="346"/>
      <c r="G6" s="346"/>
    </row>
    <row r="7" spans="1:7" s="51" customFormat="1" x14ac:dyDescent="0.25">
      <c r="B7" s="346"/>
      <c r="C7" s="346"/>
      <c r="D7" s="346"/>
      <c r="E7" s="346"/>
      <c r="F7" s="346"/>
      <c r="G7" s="346"/>
    </row>
    <row r="8" spans="1:7" s="51" customFormat="1" x14ac:dyDescent="0.25">
      <c r="B8" s="346"/>
      <c r="C8" s="346"/>
      <c r="D8" s="346"/>
      <c r="E8" s="346"/>
      <c r="F8" s="346"/>
      <c r="G8" s="346"/>
    </row>
    <row r="9" spans="1:7" s="51" customFormat="1" x14ac:dyDescent="0.25">
      <c r="B9" s="346"/>
      <c r="C9" s="346"/>
      <c r="D9" s="346"/>
      <c r="E9" s="346"/>
      <c r="F9" s="346"/>
      <c r="G9" s="346"/>
    </row>
    <row r="10" spans="1:7" s="51" customFormat="1" x14ac:dyDescent="0.25">
      <c r="B10" s="346"/>
      <c r="C10" s="346"/>
      <c r="D10" s="346"/>
      <c r="E10" s="346"/>
      <c r="F10" s="346"/>
      <c r="G10" s="346"/>
    </row>
    <row r="11" spans="1:7" s="51" customFormat="1" x14ac:dyDescent="0.25">
      <c r="B11" s="346"/>
      <c r="C11" s="346"/>
      <c r="D11" s="346"/>
      <c r="E11" s="346"/>
      <c r="F11" s="346"/>
      <c r="G11" s="346"/>
    </row>
    <row r="12" spans="1:7" s="51" customFormat="1" x14ac:dyDescent="0.25">
      <c r="B12" s="346"/>
      <c r="C12" s="346"/>
      <c r="D12" s="346"/>
      <c r="E12" s="346"/>
      <c r="F12" s="346"/>
      <c r="G12" s="346"/>
    </row>
    <row r="13" spans="1:7" s="51" customFormat="1" x14ac:dyDescent="0.25">
      <c r="B13" s="346"/>
      <c r="C13" s="346"/>
      <c r="D13" s="346"/>
      <c r="E13" s="346"/>
      <c r="F13" s="346"/>
      <c r="G13" s="346"/>
    </row>
    <row r="14" spans="1:7" s="51" customFormat="1" x14ac:dyDescent="0.25">
      <c r="B14" s="346"/>
      <c r="C14" s="346"/>
      <c r="D14" s="346"/>
      <c r="E14" s="346"/>
      <c r="F14" s="346"/>
      <c r="G14" s="346"/>
    </row>
    <row r="15" spans="1:7" s="51" customFormat="1" x14ac:dyDescent="0.25">
      <c r="B15" s="346"/>
      <c r="C15" s="346"/>
      <c r="D15" s="346"/>
      <c r="E15" s="346"/>
      <c r="F15" s="346"/>
      <c r="G15" s="346"/>
    </row>
    <row r="16" spans="1:7" s="51" customFormat="1" x14ac:dyDescent="0.25">
      <c r="B16" s="346"/>
      <c r="C16" s="346"/>
      <c r="D16" s="346"/>
      <c r="E16" s="346"/>
      <c r="F16" s="346"/>
      <c r="G16" s="346"/>
    </row>
    <row r="17" spans="1:39" s="51" customFormat="1" x14ac:dyDescent="0.25">
      <c r="B17" s="346"/>
      <c r="C17" s="346"/>
      <c r="D17" s="346"/>
      <c r="E17" s="346"/>
      <c r="F17" s="346"/>
      <c r="G17" s="346"/>
    </row>
    <row r="18" spans="1:39" s="51" customFormat="1" x14ac:dyDescent="0.25">
      <c r="B18" s="346"/>
      <c r="C18" s="346"/>
      <c r="D18" s="346"/>
      <c r="E18" s="346"/>
      <c r="F18" s="346"/>
      <c r="G18" s="346"/>
    </row>
    <row r="19" spans="1:39" s="51" customFormat="1" x14ac:dyDescent="0.25">
      <c r="B19" s="346"/>
      <c r="C19" s="346"/>
      <c r="D19" s="346"/>
      <c r="E19" s="346"/>
      <c r="F19" s="346"/>
      <c r="G19" s="346"/>
    </row>
    <row r="20" spans="1:39" s="51" customFormat="1" x14ac:dyDescent="0.25">
      <c r="B20" s="346"/>
      <c r="C20" s="346"/>
      <c r="D20" s="346"/>
      <c r="E20" s="346"/>
      <c r="F20" s="346"/>
      <c r="G20" s="346"/>
    </row>
    <row r="21" spans="1:39" s="51" customFormat="1" x14ac:dyDescent="0.25">
      <c r="B21" s="346"/>
      <c r="C21" s="346"/>
      <c r="D21" s="346"/>
      <c r="E21" s="346"/>
      <c r="F21" s="346"/>
      <c r="G21" s="346"/>
    </row>
    <row r="22" spans="1:39" s="51" customFormat="1" x14ac:dyDescent="0.25">
      <c r="B22" s="346"/>
      <c r="C22" s="346"/>
      <c r="D22" s="346"/>
      <c r="E22" s="346"/>
      <c r="F22" s="346"/>
      <c r="G22" s="346"/>
    </row>
    <row r="23" spans="1:39" s="51" customFormat="1" x14ac:dyDescent="0.25">
      <c r="B23" s="346"/>
      <c r="C23" s="346"/>
      <c r="D23" s="346"/>
      <c r="E23" s="346"/>
      <c r="F23" s="346"/>
      <c r="G23" s="346"/>
    </row>
    <row r="24" spans="1:39" s="51" customFormat="1" x14ac:dyDescent="0.25">
      <c r="B24" s="346"/>
      <c r="C24" s="346"/>
      <c r="D24" s="346"/>
      <c r="E24" s="346"/>
      <c r="F24" s="346"/>
      <c r="G24" s="346"/>
    </row>
    <row r="25" spans="1:39" s="51" customFormat="1" x14ac:dyDescent="0.25">
      <c r="B25" s="346"/>
      <c r="C25" s="346"/>
      <c r="D25" s="346"/>
      <c r="E25" s="346"/>
      <c r="F25" s="346"/>
      <c r="G25" s="346"/>
    </row>
    <row r="26" spans="1:39" s="51" customFormat="1" x14ac:dyDescent="0.25">
      <c r="B26" s="346"/>
      <c r="C26" s="346"/>
      <c r="D26" s="346"/>
      <c r="E26" s="346"/>
      <c r="F26" s="346"/>
      <c r="G26" s="346"/>
    </row>
    <row r="27" spans="1:39" s="51" customFormat="1" x14ac:dyDescent="0.25">
      <c r="B27" s="346"/>
      <c r="C27" s="346"/>
      <c r="D27" s="346"/>
      <c r="E27" s="346"/>
      <c r="F27" s="346"/>
      <c r="G27" s="346"/>
    </row>
    <row r="28" spans="1:39" s="51" customFormat="1" ht="102" customHeight="1" x14ac:dyDescent="0.25">
      <c r="B28" s="346"/>
      <c r="C28" s="346"/>
      <c r="D28" s="346"/>
      <c r="E28" s="346"/>
      <c r="F28" s="346"/>
      <c r="G28" s="346"/>
    </row>
    <row r="29" spans="1:39" ht="9.75" customHeight="1" x14ac:dyDescent="0.25">
      <c r="B29" s="346"/>
      <c r="C29" s="346"/>
      <c r="D29" s="346"/>
      <c r="E29" s="346"/>
      <c r="F29" s="346"/>
      <c r="G29" s="346"/>
    </row>
    <row r="30" spans="1:39" x14ac:dyDescent="0.25">
      <c r="A30" s="309" t="s">
        <v>272</v>
      </c>
      <c r="B30" s="309"/>
      <c r="C30" s="309"/>
      <c r="D30" s="309"/>
      <c r="E30" s="309"/>
      <c r="F30" s="309"/>
      <c r="G30" s="309"/>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39" ht="15.75" thickBot="1" x14ac:dyDescent="0.3"/>
    <row r="32" spans="1:39" ht="15.75" thickTop="1" x14ac:dyDescent="0.25">
      <c r="B32" s="348" t="s">
        <v>2</v>
      </c>
      <c r="C32" s="349"/>
      <c r="D32" s="349"/>
      <c r="E32" s="350"/>
    </row>
    <row r="33" spans="2:22" x14ac:dyDescent="0.25">
      <c r="B33" s="38"/>
      <c r="C33" s="39" t="s">
        <v>31</v>
      </c>
      <c r="D33" s="40" t="s">
        <v>32</v>
      </c>
      <c r="E33" s="39" t="s">
        <v>33</v>
      </c>
    </row>
    <row r="34" spans="2:22" x14ac:dyDescent="0.25">
      <c r="B34" s="36" t="s">
        <v>321</v>
      </c>
      <c r="C34" s="230">
        <f>IF(ISNUMBER(SUM(M$63:M$158)),SUMPRODUCT(M$63:M$158,$C$63:$C$158)*AeroDyn_Factor_TSP_CR/(10^6)*(Silt_Content_Stockpiles_CR*100/1.5),0)</f>
        <v>86.037369101547114</v>
      </c>
      <c r="D34" s="230">
        <f>IF(ISNUMBER(SUM(N$63:N$158)),SUMPRODUCT(N$63:N$158,$C$63:$C$158)*AeroDyn_Factor_TSP_CR/(10^6)*(Silt_Content_Stockpiles_CR*100/1.5),0)</f>
        <v>245.65755219640698</v>
      </c>
      <c r="E34" s="230">
        <f>IF(ISNUMBER(SUM(O$63:O$158)),SUMPRODUCT(O$63:O$158,$C$63:$C$158)*AeroDyn_Factor_TSP_CR/(10^6)*(Silt_Content_Stockpiles_CR*100/1.5),0)</f>
        <v>235.13772509955373</v>
      </c>
      <c r="K34" s="55"/>
      <c r="L34" s="55"/>
      <c r="M34" s="55"/>
      <c r="T34" s="54"/>
      <c r="U34" s="54"/>
      <c r="V34" s="54"/>
    </row>
    <row r="35" spans="2:22" x14ac:dyDescent="0.25">
      <c r="B35" s="34" t="s">
        <v>322</v>
      </c>
      <c r="C35" s="233">
        <f>IF(ISNUMBER(SUM(M$63:M$158)),SUMPRODUCT(M$63:M$158,$C$63:$C$158)*AeroDyn_Factor_PM10_CR/(10^6)*(Silt_Content_Stockpiles_CR*100/1.5),0)</f>
        <v>43.018684550773557</v>
      </c>
      <c r="D35" s="233">
        <f>IF(ISNUMBER(SUM(N$63:N$158)),SUMPRODUCT(N$63:N$158,$C$63:$C$158)*AeroDyn_Factor_PM10_CR/(10^6)*(Silt_Content_Stockpiles_CR*100/1.5),0)</f>
        <v>122.82877609820349</v>
      </c>
      <c r="E35" s="233">
        <f>IF(ISNUMBER(SUM(O$63:O$158)),SUMPRODUCT(O$63:O$158,$C$63:$C$158)*AeroDyn_Factor_PM10_CR/(10^6)*(Silt_Content_Stockpiles_CR*100/1.5),0)</f>
        <v>117.56886254977687</v>
      </c>
      <c r="K35" s="55"/>
      <c r="L35" s="55"/>
      <c r="M35" s="55"/>
      <c r="T35" s="54"/>
      <c r="U35" s="54"/>
      <c r="V35" s="54"/>
    </row>
    <row r="36" spans="2:22" x14ac:dyDescent="0.25">
      <c r="B36" s="37" t="s">
        <v>323</v>
      </c>
      <c r="C36" s="232">
        <f>IF(ISNUMBER(SUM(M$63:M$158)),SUMPRODUCT(M$63:M$158,$C$63:$C$158)*AeroDyn_Factor_PM2.5_CR/(10^6)*(Silt_Content_Stockpiles_CR*100/1.5),0)</f>
        <v>17.207473820309424</v>
      </c>
      <c r="D36" s="232">
        <f>IF(ISNUMBER(SUM(N$63:N$158)),SUMPRODUCT(N$63:N$158,$C$63:$C$158)*AeroDyn_Factor_PM2.5_CR/(10^6)*(Silt_Content_Stockpiles_CR*100/1.5),0)</f>
        <v>49.131510439281399</v>
      </c>
      <c r="E36" s="232">
        <f>IF(ISNUMBER(SUM(O$63:O$158)),SUMPRODUCT(O$63:O$158,$C$63:$C$158)*AeroDyn_Factor_PM2.5_CR/(10^6)*(Silt_Content_Stockpiles_CR*100/1.5),0)</f>
        <v>47.027545019910747</v>
      </c>
      <c r="K36" s="55"/>
      <c r="L36" s="55"/>
      <c r="M36" s="55"/>
      <c r="T36" s="54"/>
      <c r="U36" s="54"/>
      <c r="V36" s="54"/>
    </row>
    <row r="37" spans="2:22" x14ac:dyDescent="0.25">
      <c r="B37" s="34" t="s">
        <v>309</v>
      </c>
      <c r="C37" s="57">
        <f>IF(C34&gt;0,C34*10^6/(Prod_CR*Size_dist_LQ_CR*10^3),Std_Surf_LQ_CR*NB_Stockpiles_LQ_CR*AVERAGE($C$63:$C$158)*AeroDyn_Factor_TSP_CR*(Silt_Content_Stockpiles_CR*100/1.5)/(Std_Prod_LQ_CR*10^3))</f>
        <v>1.2291052728792444</v>
      </c>
      <c r="D37" s="57">
        <f>IF(D34&gt;0,D34*10^6/(Prod_CR*Size_dist_MQ_CR*10^3),Std_Surf_MQ_CR*NB_Stockpiles_MQ_CR*AVERAGE($C$63:$C$158)*AeroDyn_Factor_TSP_CR*(Silt_Content_Stockpiles_CR*100/1.5)/(Std_Prod_MQ_CR*10^3))</f>
        <v>2.4565755219640697</v>
      </c>
      <c r="E37" s="57">
        <f>IF(E34&gt;0,E34*10^6/(Prod_CR*Size_dist_SQ_CR*10^3),Std_Surf_SQ_CR*NB_Stockpiles_SQ_CR*AVERAGE($C$63:$C$158)*AeroDyn_Factor_TSP_CR*(Silt_Content_Stockpiles_CR*100/1.5)/(Std_Prod_SQ_CR*10^3))</f>
        <v>7.8379241699851248</v>
      </c>
      <c r="G37" s="42"/>
      <c r="K37" s="55"/>
      <c r="L37" s="55"/>
      <c r="M37" s="55"/>
    </row>
    <row r="38" spans="2:22" x14ac:dyDescent="0.25">
      <c r="B38" s="34" t="s">
        <v>310</v>
      </c>
      <c r="C38" s="59">
        <f>IF(C35&gt;0,C35*10^6/(Prod_CR*Size_dist_LQ_CR*10^3),Std_Surf_LQ_CR*NB_Stockpiles_LQ_CR*AVERAGE($C$63:$C$158)*AeroDyn_Factor_PM10_CR*(Silt_Content_Stockpiles_CR*100/1.5)/(Std_Prod_LQ_CR*10^3))</f>
        <v>0.61455263643962221</v>
      </c>
      <c r="D38" s="59">
        <f>IF(D35&gt;0,D35*10^6/(Prod_CR*Size_dist_MQ_CR*10^3),Std_Surf_MQ_CR*NB_Stockpiles_MQ_CR*AVERAGE($C$63:$C$158)*AeroDyn_Factor_PM10_CR*(Silt_Content_Stockpiles_CR*100/1.5)/(Std_Prod_MQ_CR*10^3))</f>
        <v>1.2282877609820348</v>
      </c>
      <c r="E38" s="59">
        <f>IF(E35&gt;0,E35*10^6/(Prod_CR*Size_dist_SQ_CR*10^3),Std_Surf_SQ_CR*NB_Stockpiles_SQ_CR*AVERAGE($C$63:$C$158)*AeroDyn_Factor_PM10_CR*(Silt_Content_Stockpiles_CR*100/1.5)/(Std_Prod_SQ_CR*10^3))</f>
        <v>3.9189620849925624</v>
      </c>
      <c r="G38" s="42"/>
      <c r="K38" s="55"/>
      <c r="L38" s="55"/>
      <c r="M38" s="55"/>
    </row>
    <row r="39" spans="2:22" ht="15.75" thickBot="1" x14ac:dyDescent="0.3">
      <c r="B39" s="35" t="s">
        <v>311</v>
      </c>
      <c r="C39" s="60">
        <f>IF(C36&gt;0,C36*10^6/(Prod_CR*Size_dist_LQ_CR*10^3),Std_Surf_LQ_CR*NB_Stockpiles_LQ_CR*AVERAGE($C$63:$C$158)*AeroDyn_Factor_PM2.5_CR*(Silt_Content_Stockpiles_CR*100/1.5)/(Std_Prod_LQ_CR*10^3))</f>
        <v>0.24582105457584891</v>
      </c>
      <c r="D39" s="60">
        <f>IF(D36&gt;0,D36*10^6/(Prod_CR*Size_dist_MQ_CR*10^3),Std_Surf_MQ_CR*NB_Stockpiles_MQ_CR*AVERAGE($C$63:$C$158)*AeroDyn_Factor_PM2.5_CR*(Silt_Content_Stockpiles_CR*100/1.5)/(Std_Prod_MQ_CR*10^3))</f>
        <v>0.49131510439281395</v>
      </c>
      <c r="E39" s="60">
        <f>IF(E36&gt;0,E36*10^6/(Prod_CR*Size_dist_SQ_CR*10^3),Std_Surf_SQ_CR*NB_Stockpiles_SQ_CR*AVERAGE($C$63:$C$158)*AeroDyn_Factor_PM2.5_CR*(Silt_Content_Stockpiles_CR*100/1.5)/(Std_Prod_SQ_CR*10^3))</f>
        <v>1.5675848339970249</v>
      </c>
      <c r="G39" s="42"/>
      <c r="K39" s="55"/>
      <c r="L39" s="55"/>
      <c r="M39" s="55"/>
    </row>
    <row r="40" spans="2:22" ht="16.5" thickTop="1" thickBot="1" x14ac:dyDescent="0.3">
      <c r="I40" s="48"/>
      <c r="J40" s="48"/>
      <c r="K40" s="48"/>
      <c r="L40" s="48"/>
      <c r="M40" s="48"/>
      <c r="N40" s="48"/>
    </row>
    <row r="41" spans="2:22" s="51" customFormat="1" ht="15.75" thickTop="1" x14ac:dyDescent="0.25">
      <c r="B41" s="348" t="s">
        <v>4</v>
      </c>
      <c r="C41" s="349"/>
      <c r="D41" s="349"/>
      <c r="E41" s="350"/>
      <c r="F41"/>
      <c r="I41" s="48"/>
      <c r="J41" s="48"/>
      <c r="K41" s="48"/>
      <c r="L41" s="48"/>
      <c r="M41" s="48"/>
      <c r="N41" s="48"/>
    </row>
    <row r="42" spans="2:22" s="51" customFormat="1" x14ac:dyDescent="0.25">
      <c r="B42" s="38"/>
      <c r="C42" s="39" t="s">
        <v>31</v>
      </c>
      <c r="D42" s="40" t="s">
        <v>32</v>
      </c>
      <c r="E42" s="39" t="s">
        <v>33</v>
      </c>
      <c r="F42"/>
      <c r="I42" s="48"/>
      <c r="J42" s="48"/>
      <c r="K42" s="48"/>
      <c r="L42" s="48"/>
      <c r="M42" s="48"/>
      <c r="N42" s="48"/>
    </row>
    <row r="43" spans="2:22" s="51" customFormat="1" x14ac:dyDescent="0.25">
      <c r="B43" s="36" t="s">
        <v>321</v>
      </c>
      <c r="C43" s="230">
        <f>IF(ISNUMBER(SUM(Y$63:Y$158)),SUMPRODUCT(Y$63:Y$158,$C$63:$C$158)*AeroDyn_Factor_TSP_SG/(10^6)*(Silt_Content_Stockpiles_SG*100/1.5),0)</f>
        <v>18.695551930234259</v>
      </c>
      <c r="D43" s="230">
        <f>IF(ISNUMBER(SUM(Z$63:Z$158)),SUMPRODUCT(Z$63:Z$158,$C$63:$C$158)*AeroDyn_Factor_TSP_SG/(10^6)*(Silt_Content_Stockpiles_SG*100/1.5),0)</f>
        <v>151.89653171207507</v>
      </c>
      <c r="E43" s="230">
        <f>IF(ISNUMBER(SUM(AA$63:AA$158)),SUMPRODUCT(AA$63:AA$158,$C$63:$C$158)*AeroDyn_Factor_TSP_SG/(10^6)*(Silt_Content_Stockpiles_SG*100/1.5),0)</f>
        <v>341.53425029773882</v>
      </c>
      <c r="F43"/>
      <c r="I43" s="48"/>
      <c r="J43" s="48"/>
      <c r="K43" s="48"/>
      <c r="L43" s="48"/>
      <c r="M43" s="48"/>
      <c r="N43" s="48"/>
    </row>
    <row r="44" spans="2:22" s="51" customFormat="1" x14ac:dyDescent="0.25">
      <c r="B44" s="34" t="s">
        <v>322</v>
      </c>
      <c r="C44" s="231">
        <f>IF(ISNUMBER(SUM(Y$63:Y$158)),SUMPRODUCT(Y$63:Y$158,$C$63:$C$158)*AeroDyn_Factor_PM10_SG/(10^6)*(Silt_Content_Stockpiles_SG*100/1.5),0)</f>
        <v>9.3477759651171297</v>
      </c>
      <c r="D44" s="231">
        <f>IF(ISNUMBER(SUM(Z$63:Z$158)),SUMPRODUCT(Z$63:Z$158,$C$63:$C$158)*AeroDyn_Factor_PM10_SG/(10^6)*(Silt_Content_Stockpiles_SG*100/1.5),0)</f>
        <v>75.948265856037537</v>
      </c>
      <c r="E44" s="231">
        <f>IF(ISNUMBER(SUM(AA$63:AA$158)),SUMPRODUCT(AA$63:AA$158,$C$63:$C$158)*AeroDyn_Factor_PM10_SG/(10^6)*(Silt_Content_Stockpiles_SG*100/1.5),0)</f>
        <v>170.76712514886941</v>
      </c>
      <c r="F44"/>
      <c r="I44" s="48"/>
      <c r="J44" s="48"/>
      <c r="K44" s="48"/>
      <c r="L44" s="48"/>
      <c r="M44" s="48"/>
      <c r="N44" s="48"/>
    </row>
    <row r="45" spans="2:22" s="51" customFormat="1" x14ac:dyDescent="0.25">
      <c r="B45" s="37" t="s">
        <v>323</v>
      </c>
      <c r="C45" s="232">
        <f>IF(ISNUMBER(SUM(Y$63:Y$158)),SUMPRODUCT(Y$63:Y$158,$C$63:$C$158)*AeroDyn_Factor_PM2.5_SG/(10^6)*(Silt_Content_Stockpiles_SG*100/1.5),0)</f>
        <v>3.739110386046852</v>
      </c>
      <c r="D45" s="232">
        <f>IF(ISNUMBER(SUM(Z$63:Z$158)),SUMPRODUCT(Z$63:Z$158,$C$63:$C$158)*AeroDyn_Factor_PM2.5_SG/(10^6)*(Silt_Content_Stockpiles_SG*100/1.5),0)</f>
        <v>30.379306342415017</v>
      </c>
      <c r="E45" s="232">
        <f>IF(ISNUMBER(SUM(AA$63:AA$158)),SUMPRODUCT(AA$63:AA$158,$C$63:$C$158)*AeroDyn_Factor_PM2.5_SG/(10^6)*(Silt_Content_Stockpiles_SG*100/1.5),0)</f>
        <v>68.306850059547756</v>
      </c>
      <c r="F45"/>
      <c r="I45" s="48"/>
      <c r="J45" s="48"/>
      <c r="K45" s="48"/>
      <c r="L45" s="48"/>
      <c r="M45" s="48"/>
      <c r="N45" s="48"/>
    </row>
    <row r="46" spans="2:22" s="51" customFormat="1" x14ac:dyDescent="0.25">
      <c r="B46" s="34" t="s">
        <v>309</v>
      </c>
      <c r="C46" s="57">
        <f>IF(C43&gt;0,C43*10^6/(Prod_SG*Size_dist_LQ_SG*10^3),Std_Surf_LQ_SG*NB_Stockpiles_LQ_SG*AVERAGE($C$63:$C$158)*AeroDyn_Factor_TSP_SG*(Silt_Content_Stockpiles_SG*100/1.5)/(Std_Prod_LQ_SG*10^3))</f>
        <v>0.49854805147291364</v>
      </c>
      <c r="D46" s="57">
        <f>IF(D43&gt;0,D43*10^6/(Prod_SG*Size_dist_MQ_SG*10^3),Std_Surf_MQ_SG*NB_Stockpiles_MQ_SG*AVERAGE($C$63:$C$158)*AeroDyn_Factor_TSP_SG*(Silt_Content_Stockpiles_SG*100/1.5)/(Std_Prod_MQ_SG*10^3))</f>
        <v>1.2151722536966008</v>
      </c>
      <c r="E46" s="57">
        <f>IF(E43&gt;0,E43*10^6/(Prod_SG*Size_dist_SQ_SG*10^3),Std_Surf_SQ_SG*NB_Stockpiles_SQ_SG*AVERAGE($C$63:$C$158)*AeroDyn_Factor_TSP_SG*(Silt_Content_Stockpiles_SG*100/1.5)/(Std_Prod_SQ_SG*10^3))</f>
        <v>3.9032485748313013</v>
      </c>
      <c r="G46" s="42"/>
      <c r="I46" s="47"/>
      <c r="J46" s="48"/>
      <c r="K46" s="48"/>
      <c r="L46" s="48"/>
      <c r="M46" s="48"/>
      <c r="N46" s="48"/>
    </row>
    <row r="47" spans="2:22" s="51" customFormat="1" x14ac:dyDescent="0.25">
      <c r="B47" s="34" t="s">
        <v>310</v>
      </c>
      <c r="C47" s="59">
        <f>IF(C44&gt;0,C44*10^6/(Prod_SG*Size_dist_LQ_SG*10^3),Std_Surf_LQ_SG*NB_Stockpiles_LQ_SG*AVERAGE($C$63:$C$158)*AeroDyn_Factor_PM10_SG*(Silt_Content_Stockpiles_SG*100/1.5)/(Std_Prod_LQ_SG*10^3))</f>
        <v>0.24927402573645682</v>
      </c>
      <c r="D47" s="59">
        <f>IF(D44&gt;0,D44*10^6/(Prod_SG*Size_dist_MQ_SG*10^3),Std_Surf_MQ_SG*NB_Stockpiles_MQ_SG*AVERAGE($C$63:$C$158)*AeroDyn_Factor_PM10_SG*(Silt_Content_Stockpiles_SG*100/1.5)/(Std_Prod_MQ_SG*10^3))</f>
        <v>0.60758612684830038</v>
      </c>
      <c r="E47" s="59">
        <f>IF(E44&gt;0,E44*10^6/(Prod_SG*Size_dist_SQ_SG*10^3),Std_Surf_SQ_SG*NB_Stockpiles_SQ_SG*AVERAGE($C$63:$C$158)*AeroDyn_Factor_PM10_SG*(Silt_Content_Stockpiles_SG*100/1.5)/(Std_Prod_SQ_SG*10^3))</f>
        <v>1.9516242874156506</v>
      </c>
      <c r="G47" s="42"/>
      <c r="I47" s="47"/>
      <c r="J47" s="48"/>
      <c r="K47" s="48"/>
      <c r="L47" s="48"/>
      <c r="M47" s="48"/>
      <c r="N47" s="48"/>
    </row>
    <row r="48" spans="2:22" s="51" customFormat="1" ht="15.75" thickBot="1" x14ac:dyDescent="0.3">
      <c r="B48" s="35" t="s">
        <v>311</v>
      </c>
      <c r="C48" s="60">
        <f>IF(C45&gt;0,C45*10^6/(Prod_SG*Size_dist_LQ_SG*10^3),Std_Surf_LQ_SG*NB_Stockpiles_LQ_SG*AVERAGE($C$63:$C$158)*AeroDyn_Factor_PM2.5_SG*(Silt_Content_Stockpiles_SG*100/1.5)/(Std_Prod_LQ_SG*10^3))</f>
        <v>9.9709610294582723E-2</v>
      </c>
      <c r="D48" s="60">
        <f>IF(D45&gt;0,D45*10^6/(Prod_SG*Size_dist_MQ_SG*10^3),Std_Surf_MQ_SG*NB_Stockpiles_MQ_SG*AVERAGE($C$63:$C$158)*AeroDyn_Factor_PM2.5_SG*(Silt_Content_Stockpiles_SG*100/1.5)/(Std_Prod_MQ_SG*10^3))</f>
        <v>0.24303445073932012</v>
      </c>
      <c r="E48" s="60">
        <f>IF(E45&gt;0,E45*10^6/(Prod_SG*Size_dist_SQ_SG*10^3),Std_Surf_SQ_SG*NB_Stockpiles_SQ_SG*AVERAGE($C$63:$C$158)*AeroDyn_Factor_PM2.5_SG*(Silt_Content_Stockpiles_SG*100/1.5)/(Std_Prod_SQ_SG*10^3))</f>
        <v>0.78064971496626001</v>
      </c>
      <c r="G48" s="42"/>
      <c r="I48" s="47"/>
      <c r="J48" s="48"/>
      <c r="K48" s="48"/>
      <c r="L48" s="48"/>
      <c r="M48" s="48"/>
      <c r="N48" s="48"/>
    </row>
    <row r="49" spans="1:39" s="51" customFormat="1" ht="16.5" thickTop="1" thickBot="1" x14ac:dyDescent="0.3">
      <c r="I49" s="48"/>
      <c r="J49" s="48"/>
      <c r="K49" s="48"/>
      <c r="L49" s="48"/>
      <c r="M49" s="48"/>
      <c r="N49" s="48"/>
    </row>
    <row r="50" spans="1:39" s="51" customFormat="1" ht="15.75" thickTop="1" x14ac:dyDescent="0.25">
      <c r="B50" s="348" t="s">
        <v>124</v>
      </c>
      <c r="C50" s="349"/>
      <c r="D50" s="349"/>
      <c r="E50" s="350"/>
      <c r="I50" s="48"/>
      <c r="J50" s="48"/>
      <c r="K50" s="48"/>
      <c r="L50" s="48"/>
      <c r="M50" s="48"/>
      <c r="N50" s="48"/>
    </row>
    <row r="51" spans="1:39" s="51" customFormat="1" x14ac:dyDescent="0.25">
      <c r="B51" s="38"/>
      <c r="C51" s="39" t="s">
        <v>31</v>
      </c>
      <c r="D51" s="40" t="s">
        <v>32</v>
      </c>
      <c r="E51" s="39" t="s">
        <v>33</v>
      </c>
      <c r="I51" s="48"/>
      <c r="J51" s="48"/>
      <c r="K51" s="48"/>
      <c r="L51" s="48"/>
      <c r="M51" s="48"/>
      <c r="N51" s="48"/>
    </row>
    <row r="52" spans="1:39" s="51" customFormat="1" x14ac:dyDescent="0.25">
      <c r="B52" s="36" t="s">
        <v>321</v>
      </c>
      <c r="C52" s="77">
        <f>IF(ISNUMBER(SUM(AK$63:AK$158)),SUMPRODUCT(AK$63:AK$158,$C$63:$C$158)*AeroDyn_Factor_TSP_RA/(10^6)*(Silt_Content_Stockpiles_RA*100/1.5),0)</f>
        <v>0</v>
      </c>
      <c r="D52" s="230">
        <f>IF(ISNUMBER(SUM(AL$63:AL$158)),SUMPRODUCT(AL$63:AL$158,$C$63:$C$158)*AeroDyn_Factor_TSP_RA/(10^6)*(Silt_Content_Stockpiles_RA*100/1.5),0)</f>
        <v>14.802486394216006</v>
      </c>
      <c r="E52" s="230">
        <f>IF(ISNUMBER(SUM(AM$63:AM$158)),SUMPRODUCT(AM$63:AM$158,$C$63:$C$158)*AeroDyn_Factor_TSP_RA/(10^6)*(Silt_Content_Stockpiles_RA*100/1.5),0)</f>
        <v>190.15146090505291</v>
      </c>
      <c r="I52" s="48"/>
      <c r="J52" s="48"/>
      <c r="K52" s="48"/>
      <c r="L52" s="48"/>
      <c r="M52" s="48"/>
      <c r="N52" s="48"/>
    </row>
    <row r="53" spans="1:39" s="51" customFormat="1" x14ac:dyDescent="0.25">
      <c r="B53" s="34" t="s">
        <v>322</v>
      </c>
      <c r="C53" s="78">
        <f>IF(ISNUMBER(SUM(AK$63:AK$158)),SUMPRODUCT(AK$63:AK$158,$C$63:$C$158)*AeroDyn_Factor_PM10_RA/(10^6)*(Silt_Content_Stockpiles_RA*100/1.5),0)</f>
        <v>0</v>
      </c>
      <c r="D53" s="233">
        <f>IF(ISNUMBER(SUM(AL$63:AL$158)),SUMPRODUCT(AL$63:AL$158,$C$63:$C$158)*AeroDyn_Factor_PM10_RA/(10^6)*(Silt_Content_Stockpiles_RA*100/1.5),0)</f>
        <v>7.4012431971080028</v>
      </c>
      <c r="E53" s="233">
        <f>IF(ISNUMBER(SUM(AM$63:AM$158)),SUMPRODUCT(AM$63:AM$158,$C$63:$C$158)*AeroDyn_Factor_PM10_RA/(10^6)*(Silt_Content_Stockpiles_RA*100/1.5),0)</f>
        <v>95.075730452526457</v>
      </c>
      <c r="I53" s="48"/>
      <c r="J53" s="48"/>
      <c r="K53" s="48"/>
      <c r="L53" s="48"/>
      <c r="M53" s="48"/>
      <c r="N53" s="48"/>
    </row>
    <row r="54" spans="1:39" s="51" customFormat="1" x14ac:dyDescent="0.25">
      <c r="B54" s="37" t="s">
        <v>323</v>
      </c>
      <c r="C54" s="79">
        <f>IF(ISNUMBER(SUM(AK$63:AK$158)),SUMPRODUCT(AK$63:AK$158,$C$63:$C$158)*AeroDyn_Factor_PM2.5_RA/(10^6)*(Silt_Content_Stockpiles_RA*100/1.5),0)</f>
        <v>0</v>
      </c>
      <c r="D54" s="232">
        <f>IF(ISNUMBER(SUM(AL$63:AL$158)),SUMPRODUCT(AL$63:AL$158,$C$63:$C$158)*AeroDyn_Factor_PM2.5_RA/(10^6)*(Silt_Content_Stockpiles_RA*100/1.5),0)</f>
        <v>2.9604972788432011</v>
      </c>
      <c r="E54" s="232">
        <f>IF(ISNUMBER(SUM(AM$63:AM$158)),SUMPRODUCT(AM$63:AM$158,$C$63:$C$158)*AeroDyn_Factor_PM2.5_RA/(10^6)*(Silt_Content_Stockpiles_RA*100/1.5),0)</f>
        <v>38.030292181010587</v>
      </c>
      <c r="I54" s="48"/>
      <c r="J54" s="48"/>
      <c r="K54" s="48"/>
      <c r="L54" s="48"/>
      <c r="M54" s="48"/>
      <c r="N54" s="48"/>
    </row>
    <row r="55" spans="1:39" s="51" customFormat="1" x14ac:dyDescent="0.25">
      <c r="B55" s="34" t="s">
        <v>309</v>
      </c>
      <c r="C55" s="57">
        <f>IF(C52&gt;0,C52*10^6/(Prod_RA*Size_dist_LQ_RA*10^3),Std_Surf_LQ_RA*NB_Stockpiles_LQ_RA*AVERAGE($C$63:$C$158)*AeroDyn_Factor_TSP_RA*(Silt_Content_Stockpiles_RA*100/1.5)/(Std_Prod_LQ_RA*10^3))</f>
        <v>6.1208262826411564E-2</v>
      </c>
      <c r="D55" s="57">
        <f>IF(D52&gt;0,D52*10^6/(Prod_RA*Size_dist_MQ_RA*10^3),Std_Surf_MQ_RA*NB_Stockpiles_MQ_RA*AVERAGE($C$63:$C$158)*AeroDyn_Factor_TSP_RA*(Silt_Content_Stockpiles_RA*100/1.5)/(Std_Prod_MQ_RA*10^3))</f>
        <v>2.4670810657026681</v>
      </c>
      <c r="E55" s="57">
        <f>IF(E52&gt;0,E52*10^6/(Prod_RA*Size_dist_SQ_RA*10^3),Std_Surf_SQ_RA*NB_Stockpiles_SQ_RA*AVERAGE($C$63:$C$158)*AeroDyn_Factor_TSP_RA*(Silt_Content_Stockpiles_RA*100/1.5)/(Std_Prod_SQ_RA*10^3))</f>
        <v>7.9229775377105387</v>
      </c>
      <c r="G55" s="42"/>
      <c r="I55" s="48"/>
      <c r="J55" s="48"/>
      <c r="K55" s="48"/>
      <c r="L55" s="48"/>
      <c r="M55" s="48"/>
      <c r="N55" s="48"/>
    </row>
    <row r="56" spans="1:39" s="51" customFormat="1" x14ac:dyDescent="0.25">
      <c r="B56" s="34" t="s">
        <v>310</v>
      </c>
      <c r="C56" s="59">
        <f>IF(C53&gt;0,C53*10^6/(Prod_RA*Size_dist_LQ_RA*10^3),Std_Surf_LQ_RA*NB_Stockpiles_LQ_RA*AVERAGE($C$63:$C$158)*AeroDyn_Factor_PM10_RA*(Silt_Content_Stockpiles_RA*100/1.5)/(Std_Prod_LQ_RA*10^3))</f>
        <v>3.0604131413205782E-2</v>
      </c>
      <c r="D56" s="59">
        <f>IF(D53&gt;0,D53*10^6/(Prod_RA*Size_dist_MQ_RA*10^3),Std_Surf_MQ_RA*NB_Stockpiles_MQ_RA*AVERAGE($C$63:$C$158)*AeroDyn_Factor_PM10_RA*(Silt_Content_Stockpiles_RA*100/1.5)/(Std_Prod_MQ_RA*10^3))</f>
        <v>1.233540532851334</v>
      </c>
      <c r="E56" s="59">
        <f>IF(E53&gt;0,E53*10^6/(Prod_RA*Size_dist_SQ_RA*10^3),Std_Surf_SQ_RA*NB_Stockpiles_SQ_RA*AVERAGE($C$63:$C$158)*AeroDyn_Factor_PM10_RA*(Silt_Content_Stockpiles_RA*100/1.5)/(Std_Prod_SQ_RA*10^3))</f>
        <v>3.9614887688552693</v>
      </c>
      <c r="G56" s="42"/>
      <c r="I56" s="48"/>
      <c r="J56" s="48"/>
      <c r="K56" s="48"/>
      <c r="L56" s="48"/>
      <c r="M56" s="48"/>
      <c r="N56" s="48"/>
    </row>
    <row r="57" spans="1:39" s="51" customFormat="1" ht="15.75" thickBot="1" x14ac:dyDescent="0.3">
      <c r="B57" s="35" t="s">
        <v>311</v>
      </c>
      <c r="C57" s="60">
        <f>IF(C54&gt;0,C54*10^6/(Prod_RA*Size_dist_LQ_RA*10^3),Std_Surf_LQ_RA*NB_Stockpiles_LQ_RA*AVERAGE($C$63:$C$158)*AeroDyn_Factor_PM2.5_RA*(Silt_Content_Stockpiles_RA*100/1.5)/(Std_Prod_LQ_RA*10^3))</f>
        <v>1.2241652565282314E-2</v>
      </c>
      <c r="D57" s="60">
        <f>IF(D54&gt;0,D54*10^6/(Prod_RA*Size_dist_MQ_RA*10^3),Std_Surf_MQ_RA*NB_Stockpiles_MQ_RA*AVERAGE($C$63:$C$158)*AeroDyn_Factor_PM2.5_RA*(Silt_Content_Stockpiles_RA*100/1.5)/(Std_Prod_MQ_RA*10^3))</f>
        <v>0.49341621314053363</v>
      </c>
      <c r="E57" s="60">
        <f>IF(E54&gt;0,E54*10^6/(Prod_RA*Size_dist_SQ_RA*10^3),Std_Surf_SQ_RA*NB_Stockpiles_SQ_RA*AVERAGE($C$63:$C$158)*AeroDyn_Factor_PM2.5_RA*(Silt_Content_Stockpiles_RA*100/1.5)/(Std_Prod_SQ_RA*10^3))</f>
        <v>1.5845955075421081</v>
      </c>
      <c r="G57" s="42"/>
      <c r="I57" s="48"/>
      <c r="J57" s="48"/>
      <c r="K57" s="48"/>
      <c r="L57" s="48"/>
      <c r="M57" s="48"/>
      <c r="N57" s="48"/>
    </row>
    <row r="58" spans="1:39" s="51" customFormat="1" ht="15.75" thickTop="1" x14ac:dyDescent="0.25">
      <c r="I58" s="48"/>
      <c r="J58" s="48"/>
      <c r="K58" s="48"/>
      <c r="L58" s="48"/>
      <c r="M58" s="48"/>
      <c r="N58" s="48"/>
    </row>
    <row r="59" spans="1:39" s="51" customFormat="1" x14ac:dyDescent="0.25">
      <c r="A59" s="309" t="s">
        <v>456</v>
      </c>
      <c r="B59" s="309"/>
      <c r="C59" s="309"/>
      <c r="D59" s="309"/>
      <c r="E59" s="309"/>
      <c r="F59" s="309"/>
      <c r="G59" s="368"/>
      <c r="H59" s="368"/>
      <c r="I59" s="368"/>
      <c r="J59" s="368"/>
      <c r="K59" s="368"/>
      <c r="L59" s="368"/>
      <c r="M59" s="368"/>
      <c r="N59" s="368"/>
      <c r="O59" s="368"/>
      <c r="P59" s="368"/>
      <c r="Q59" s="368"/>
      <c r="R59" s="368"/>
      <c r="S59" s="368"/>
      <c r="T59" s="368"/>
      <c r="U59" s="368"/>
      <c r="V59" s="10"/>
      <c r="W59" s="10"/>
      <c r="X59" s="10"/>
      <c r="Y59" s="10"/>
      <c r="Z59" s="10"/>
      <c r="AA59" s="10"/>
      <c r="AB59" s="10"/>
      <c r="AC59" s="10"/>
      <c r="AD59" s="10"/>
      <c r="AE59" s="10"/>
      <c r="AF59" s="10"/>
      <c r="AG59" s="10"/>
      <c r="AH59" s="10"/>
      <c r="AI59" s="10"/>
      <c r="AJ59" s="10"/>
      <c r="AK59" s="10"/>
      <c r="AL59" s="10"/>
      <c r="AM59" s="10"/>
    </row>
    <row r="60" spans="1:39" ht="15.75" thickBot="1" x14ac:dyDescent="0.3">
      <c r="A60" s="50"/>
      <c r="B60" s="50"/>
    </row>
    <row r="61" spans="1:39" ht="16.5" thickTop="1" thickBot="1" x14ac:dyDescent="0.3">
      <c r="C61" s="49"/>
      <c r="D61" s="365" t="s">
        <v>203</v>
      </c>
      <c r="E61" s="366"/>
      <c r="F61" s="366"/>
      <c r="G61" s="366"/>
      <c r="H61" s="349"/>
      <c r="I61" s="366"/>
      <c r="J61" s="366"/>
      <c r="K61" s="366"/>
      <c r="L61" s="366"/>
      <c r="M61" s="366"/>
      <c r="N61" s="366"/>
      <c r="O61" s="367"/>
      <c r="P61" s="365" t="s">
        <v>4</v>
      </c>
      <c r="Q61" s="366"/>
      <c r="R61" s="366"/>
      <c r="S61" s="366"/>
      <c r="T61" s="366"/>
      <c r="U61" s="366"/>
      <c r="V61" s="366"/>
      <c r="W61" s="366"/>
      <c r="X61" s="366"/>
      <c r="Y61" s="366"/>
      <c r="Z61" s="366"/>
      <c r="AA61" s="366"/>
      <c r="AB61" s="365" t="s">
        <v>124</v>
      </c>
      <c r="AC61" s="366"/>
      <c r="AD61" s="366"/>
      <c r="AE61" s="366"/>
      <c r="AF61" s="366"/>
      <c r="AG61" s="366"/>
      <c r="AH61" s="366"/>
      <c r="AI61" s="366"/>
      <c r="AJ61" s="366"/>
      <c r="AK61" s="366"/>
      <c r="AL61" s="366"/>
      <c r="AM61" s="367"/>
    </row>
    <row r="62" spans="1:39" ht="75.75" thickTop="1" x14ac:dyDescent="0.25">
      <c r="B62" s="91" t="s">
        <v>54</v>
      </c>
      <c r="C62" s="91" t="s">
        <v>131</v>
      </c>
      <c r="D62" s="99" t="s">
        <v>103</v>
      </c>
      <c r="E62" s="100" t="s">
        <v>105</v>
      </c>
      <c r="F62" s="101" t="s">
        <v>104</v>
      </c>
      <c r="G62" s="102" t="s">
        <v>430</v>
      </c>
      <c r="H62" s="100" t="s">
        <v>431</v>
      </c>
      <c r="I62" s="106" t="s">
        <v>432</v>
      </c>
      <c r="J62" s="200" t="s">
        <v>435</v>
      </c>
      <c r="K62" s="200" t="s">
        <v>433</v>
      </c>
      <c r="L62" s="200" t="s">
        <v>434</v>
      </c>
      <c r="M62" s="102" t="s">
        <v>111</v>
      </c>
      <c r="N62" s="101" t="s">
        <v>112</v>
      </c>
      <c r="O62" s="103" t="s">
        <v>113</v>
      </c>
      <c r="P62" s="104" t="s">
        <v>103</v>
      </c>
      <c r="Q62" s="100" t="s">
        <v>105</v>
      </c>
      <c r="R62" s="100" t="s">
        <v>104</v>
      </c>
      <c r="S62" s="102" t="s">
        <v>430</v>
      </c>
      <c r="T62" s="100" t="s">
        <v>431</v>
      </c>
      <c r="U62" s="106" t="s">
        <v>432</v>
      </c>
      <c r="V62" s="200" t="s">
        <v>435</v>
      </c>
      <c r="W62" s="200" t="s">
        <v>433</v>
      </c>
      <c r="X62" s="200" t="s">
        <v>434</v>
      </c>
      <c r="Y62" s="105" t="s">
        <v>111</v>
      </c>
      <c r="Z62" s="100" t="s">
        <v>112</v>
      </c>
      <c r="AA62" s="106" t="s">
        <v>113</v>
      </c>
      <c r="AB62" s="104" t="s">
        <v>103</v>
      </c>
      <c r="AC62" s="100" t="s">
        <v>105</v>
      </c>
      <c r="AD62" s="100" t="s">
        <v>104</v>
      </c>
      <c r="AE62" s="102" t="s">
        <v>430</v>
      </c>
      <c r="AF62" s="100" t="s">
        <v>431</v>
      </c>
      <c r="AG62" s="106" t="s">
        <v>432</v>
      </c>
      <c r="AH62" s="200" t="s">
        <v>435</v>
      </c>
      <c r="AI62" s="200" t="s">
        <v>433</v>
      </c>
      <c r="AJ62" s="200" t="s">
        <v>434</v>
      </c>
      <c r="AK62" s="105" t="s">
        <v>111</v>
      </c>
      <c r="AL62" s="100" t="s">
        <v>112</v>
      </c>
      <c r="AM62" s="107" t="s">
        <v>113</v>
      </c>
    </row>
    <row r="63" spans="1:39" x14ac:dyDescent="0.25">
      <c r="B63" s="69">
        <f>'Regional data'!B3</f>
        <v>1</v>
      </c>
      <c r="C63" s="83">
        <f>Coeff_wind_Erosion_CR*(365*(365-'Regional data'!V3)/235)*('Regional data'!W3/365*100/15)*1000</f>
        <v>64.411914893617023</v>
      </c>
      <c r="D63" s="142">
        <f>IF('Regional data'!F3&gt;0,'Regional data'!F3*Prod_CR*Size_dist_LQ_CR/(NB_LQ_CR*'Regional data'!C3),"-")</f>
        <v>1300</v>
      </c>
      <c r="E63" s="142">
        <f>IF('Regional data'!G3&gt;0,'Regional data'!G3*Prod_CR*Size_dist_MQ_CR/(NB_MQ_CR*'Regional data'!D3),"-")</f>
        <v>246.8354430379747</v>
      </c>
      <c r="F63" s="142">
        <f>IF('Regional data'!H3&gt;0,'Regional data'!H3*Prod_CR*Size_dist_SQ_CR/(NB_SQ_CR*'Regional data'!E3),"-")</f>
        <v>55.450236966824633</v>
      </c>
      <c r="G63" s="195">
        <f t="shared" ref="G63:G94" si="0">IF(D63="-","-",D63*1000/Density_stockpiles_CR/Stockpile_V_LQ_CR*Weeks_stored_LQ_CR/52)</f>
        <v>19.894367886486915</v>
      </c>
      <c r="H63" s="196">
        <f t="shared" ref="H63:H94" si="1">IF(E63="-","-",E63*1000/Density_stockpiles_CR/Stockpile_V_MQ_CR*Weeks_stored_MQ_CR/52)</f>
        <v>7.5548232480330064</v>
      </c>
      <c r="I63" s="198">
        <f t="shared" ref="I63:I94" si="2">IF(F63="-","-",F63*1000/Density_stockpiles_CR/Stockpile_V_SQ_CR*Weeks_stored_SQ_CR/52)</f>
        <v>5.5157370680544267</v>
      </c>
      <c r="J63" s="197">
        <f t="shared" ref="J63:J94" si="3">IF(G63="-","-",(ROUNDDOWN(G63,0)+(G63-ROUNDDOWN(G63,0))^(2/3))*Std_Surf_LQ_CR)</f>
        <v>21687.537399921821</v>
      </c>
      <c r="K63" s="201">
        <f t="shared" ref="K63:K94" si="4">IF(H63="-","-",(ROUNDDOWN(H63,0)+(H63-ROUNDDOWN(H63,0))^(2/3))*Std_Surf_MQ_CR)</f>
        <v>8352.77049610416</v>
      </c>
      <c r="L63" s="202">
        <f t="shared" ref="L63:L94" si="5">IF(I63="-","-",(ROUNDDOWN(I63,0)+(I63-ROUNDDOWN(I63,0))^(2/3))*Std_Surf_SQ_CR)</f>
        <v>6141.2820848431666</v>
      </c>
      <c r="M63" s="142">
        <f>IF(J63="-","-",J63*NB_LQ_CR*'Regional data'!C3)</f>
        <v>116779.04753804058</v>
      </c>
      <c r="N63" s="142">
        <f>IF(K63="-","-",K63*NB_MQ_CR*'Regional data'!D3)</f>
        <v>1015182.8756803517</v>
      </c>
      <c r="O63" s="142">
        <f>IF(L63="-","-",L63*NB_SQ_CR*'Regional data'!E3)</f>
        <v>332259.10766715603</v>
      </c>
      <c r="P63" s="141">
        <f>IF('Regional data'!L3&gt;0,'Regional data'!L3*Prod_CR*Size_dist_LQ_SG/(NB_LQ_SG*'Regional data'!I3),"-")</f>
        <v>603.33333333333326</v>
      </c>
      <c r="Q63" s="142">
        <f>IF('Regional data'!M3&gt;0,'Regional data'!M3*Prod_SG*Size_dist_MQ_SG/(NB_MQ_SG*'Regional data'!J3),"-")</f>
        <v>160.84123222748815</v>
      </c>
      <c r="R63" s="142">
        <f>IF('Regional data'!N3&gt;0,'Regional data'!N3*Prod_SG*Size_dist_SQ_SG/(NB_SQ_SG*'Regional data'!K3),"-")</f>
        <v>74.587912087912073</v>
      </c>
      <c r="S63" s="195">
        <f t="shared" ref="S63:S94" si="6">IF(P63="-","-",P63*1000/Density_stockpiles_SG/Stockpile_V_LQ_SG*Weeks_stored_LQ_SG/52)</f>
        <v>9.2330271473182854</v>
      </c>
      <c r="T63" s="196">
        <f t="shared" ref="T63:T94" si="7">IF(Q63="-","-",Q63*1000/Density_stockpiles_SG/Stockpile_V_MQ_SG*Weeks_stored_MQ_SG/52)</f>
        <v>4.9228225311531144</v>
      </c>
      <c r="U63" s="198">
        <f t="shared" ref="U63:U94" si="8">IF(R63="-","-",R63*1000/Density_stockpiles_SG/Stockpile_V_SQ_SG*Weeks_stored_SQ_SG/52)</f>
        <v>7.4193968148093354</v>
      </c>
      <c r="V63" s="197">
        <f t="shared" ref="V63:V94" si="9">IF(S63="-","-",(ROUNDDOWN(S63,0)+(S63-ROUNDDOWN(S63,0))^(2/3))*Std_Surf_LQ_SG)</f>
        <v>10206.625006064738</v>
      </c>
      <c r="W63" s="201">
        <f t="shared" ref="W63:W94" si="10">IF(T63="-","-",(ROUNDDOWN(T63,0)+(T63-ROUNDDOWN(T63,0))^(2/3))*Std_Surf_MQ_SG)</f>
        <v>5384.6581941572176</v>
      </c>
      <c r="X63" s="202">
        <f t="shared" ref="X63:X94" si="11">IF(U63="-","-",(ROUNDDOWN(U63,0)+(U63-ROUNDDOWN(U63,0))^(2/3))*Std_Surf_SQ_SG)</f>
        <v>8227.7149656386046</v>
      </c>
      <c r="Y63" s="191">
        <f>IF(V63="-","-",V63*NB_LQ_SG*'Regional data'!I3)</f>
        <v>50751.174063305334</v>
      </c>
      <c r="Z63" s="142">
        <f>IF(W63="-","-",W63*NB_MQ_SG*'Regional data'!J3)</f>
        <v>1255428.5955438376</v>
      </c>
      <c r="AA63" s="192">
        <f>IF(X63="-","-",X63*NB_SQ_SG*'Regional data'!K3)</f>
        <v>965203.39467988804</v>
      </c>
      <c r="AB63" s="141" t="e">
        <f>IF('Regional data'!R3&gt;0,'Regional data'!R3*Prod_RA*Size_dist_LQ_RA/(NB_LQ_RA*'Regional data'!O3),"-")</f>
        <v>#DIV/0!</v>
      </c>
      <c r="AC63" s="142">
        <f>IF('Regional data'!S3&gt;0,'Regional data'!S3*Prod_RA*Size_dist_MQ_RA/(NB_MQ_RA*'Regional data'!P3),"-")</f>
        <v>212.03007518796994</v>
      </c>
      <c r="AD63" s="142">
        <f>IF('Regional data'!T3&gt;0,'Regional data'!T3*Prod_RA*Size_dist_SQ_RA/(NB_SQ_RA*'Regional data'!Q3),"-")</f>
        <v>42.406015037593988</v>
      </c>
      <c r="AE63" s="195" t="e">
        <f t="shared" ref="AE63:AE94" si="12">IF(AB63="-","-",AB63*1000/Density_stockpiles_CR/Stockpile_V_LQ_CR*Weeks_stored_LQ_CR/52)</f>
        <v>#DIV/0!</v>
      </c>
      <c r="AF63" s="196">
        <f t="shared" ref="AF63:AF94" si="13">IF(AC63="-","-",AC63*1000/Density_stockpiles_CR/Stockpile_V_MQ_CR*Weeks_stored_MQ_CR/52)</f>
        <v>6.489545105829162</v>
      </c>
      <c r="AG63" s="198">
        <f t="shared" ref="AG63:AG94" si="14">IF(AD63="-","-",AD63*1000/Density_stockpiles_CR/Stockpile_V_SQ_CR*Weeks_stored_SQ_CR/52)</f>
        <v>4.2182043187889553</v>
      </c>
      <c r="AH63" s="197" t="e">
        <f t="shared" ref="AH63:AH94" si="15">IF(AE63="-","-",(ROUNDDOWN(AE63,0)+(AE63-ROUNDDOWN(AE63,0))^(2/3))*Std_Surf_LQ_CR)</f>
        <v>#DIV/0!</v>
      </c>
      <c r="AI63" s="201">
        <f t="shared" ref="AI63:AI94" si="16">IF(AF63="-","-",(ROUNDDOWN(AF63,0)+(AF63-ROUNDDOWN(AF63,0))^(2/3))*Std_Surf_MQ_CR)</f>
        <v>7205.6604989321186</v>
      </c>
      <c r="AJ63" s="202">
        <f t="shared" ref="AJ63:AJ94" si="17">IF(AG63="-","-",(ROUNDDOWN(AG63,0)+(AG63-ROUNDDOWN(AG63,0))^(2/3))*Std_Surf_SQ_CR)</f>
        <v>4747.5600850378569</v>
      </c>
      <c r="AK63" s="82" t="e">
        <f>IF(AH63="-","-",AH63*NB_LQ_RA*'Regional data'!O3)</f>
        <v>#DIV/0!</v>
      </c>
      <c r="AL63" s="142">
        <f>IF(AI63="-","-",AI63*NB_MQ_RA*'Regional data'!P3)</f>
        <v>61171.4582781684</v>
      </c>
      <c r="AM63" s="134">
        <f>IF(AJ63="-","-",AJ63*NB_SQ_RA*'Regional data'!Q3)</f>
        <v>268691.69842980208</v>
      </c>
    </row>
    <row r="64" spans="1:39" x14ac:dyDescent="0.25">
      <c r="B64" s="80">
        <f>'Regional data'!B4</f>
        <v>2</v>
      </c>
      <c r="C64" s="85">
        <f>Coeff_wind_Erosion_CR*(365*(365-'Regional data'!V4)/235)*('Regional data'!W4/365*100/15)*1000</f>
        <v>51.651063829787233</v>
      </c>
      <c r="D64" s="142">
        <f>IF('Regional data'!F4&gt;0,'Regional data'!F4*Prod_CR*Size_dist_LQ_CR/(NB_LQ_CR*'Regional data'!C4),"-")</f>
        <v>1300</v>
      </c>
      <c r="E64" s="142">
        <f>IF('Regional data'!G4&gt;0,'Regional data'!G4*Prod_CR*Size_dist_MQ_CR/(NB_MQ_CR*'Regional data'!D4),"-")</f>
        <v>246.83544303797464</v>
      </c>
      <c r="F64" s="142">
        <f>IF('Regional data'!H4&gt;0,'Regional data'!H4*Prod_CR*Size_dist_SQ_CR/(NB_SQ_CR*'Regional data'!E4),"-")</f>
        <v>55.450236966824633</v>
      </c>
      <c r="G64" s="195">
        <f t="shared" si="0"/>
        <v>19.894367886486915</v>
      </c>
      <c r="H64" s="196">
        <f t="shared" si="1"/>
        <v>7.5548232480330046</v>
      </c>
      <c r="I64" s="198">
        <f t="shared" si="2"/>
        <v>5.5157370680544267</v>
      </c>
      <c r="J64" s="191">
        <f t="shared" si="3"/>
        <v>21687.537399921821</v>
      </c>
      <c r="K64" s="142">
        <f t="shared" si="4"/>
        <v>8352.7704961041582</v>
      </c>
      <c r="L64" s="192">
        <f t="shared" si="5"/>
        <v>6141.2820848431666</v>
      </c>
      <c r="M64" s="142">
        <f>IF(J64="-","-",J64*NB_LQ_CR*'Regional data'!C4)</f>
        <v>116779.04753804058</v>
      </c>
      <c r="N64" s="142">
        <f>IF(K64="-","-",K64*NB_MQ_CR*'Regional data'!D4)</f>
        <v>338394.29189345054</v>
      </c>
      <c r="O64" s="142">
        <f>IF(L64="-","-",L64*NB_SQ_CR*'Regional data'!E4)</f>
        <v>664518.21533431206</v>
      </c>
      <c r="P64" s="141">
        <f>IF('Regional data'!L4&gt;0,'Regional data'!L4*Prod_CR*Size_dist_LQ_SG/(NB_LQ_SG*'Regional data'!I4),"-")</f>
        <v>603.33333333333326</v>
      </c>
      <c r="Q64" s="142">
        <f>IF('Regional data'!M4&gt;0,'Regional data'!M4*Prod_SG*Size_dist_MQ_SG/(NB_MQ_SG*'Regional data'!J4),"-")</f>
        <v>160.84123222748812</v>
      </c>
      <c r="R64" s="142">
        <f>IF('Regional data'!N4&gt;0,'Regional data'!N4*Prod_SG*Size_dist_SQ_SG/(NB_SQ_SG*'Regional data'!K4),"-")</f>
        <v>74.587912087912073</v>
      </c>
      <c r="S64" s="195">
        <f t="shared" si="6"/>
        <v>9.2330271473182854</v>
      </c>
      <c r="T64" s="196">
        <f t="shared" si="7"/>
        <v>4.9228225311531144</v>
      </c>
      <c r="U64" s="198">
        <f t="shared" si="8"/>
        <v>7.4193968148093354</v>
      </c>
      <c r="V64" s="191">
        <f t="shared" si="9"/>
        <v>10206.625006064738</v>
      </c>
      <c r="W64" s="142">
        <f t="shared" si="10"/>
        <v>5384.6581941572176</v>
      </c>
      <c r="X64" s="192">
        <f t="shared" si="11"/>
        <v>8227.7149656386046</v>
      </c>
      <c r="Y64" s="191">
        <f>IF(V64="-","-",V64*NB_LQ_SG*'Regional data'!I4)</f>
        <v>50751.174063305334</v>
      </c>
      <c r="Z64" s="142">
        <f>IF(W64="-","-",W64*NB_MQ_SG*'Regional data'!J4)</f>
        <v>418476.19851461257</v>
      </c>
      <c r="AA64" s="192">
        <f>IF(X64="-","-",X64*NB_SQ_SG*'Regional data'!K4)</f>
        <v>1930406.7893597761</v>
      </c>
      <c r="AB64" s="141" t="e">
        <f>IF('Regional data'!R4&gt;0,'Regional data'!R4*Prod_RA*Size_dist_LQ_RA/(NB_LQ_RA*'Regional data'!O4),"-")</f>
        <v>#DIV/0!</v>
      </c>
      <c r="AC64" s="142">
        <f>IF('Regional data'!S4&gt;0,'Regional data'!S4*Prod_RA*Size_dist_MQ_RA/(NB_MQ_RA*'Regional data'!P4),"-")</f>
        <v>212.03007518796994</v>
      </c>
      <c r="AD64" s="142">
        <f>IF('Regional data'!T4&gt;0,'Regional data'!T4*Prod_RA*Size_dist_SQ_RA/(NB_SQ_RA*'Regional data'!Q4),"-")</f>
        <v>42.406015037593988</v>
      </c>
      <c r="AE64" s="195" t="e">
        <f t="shared" si="12"/>
        <v>#DIV/0!</v>
      </c>
      <c r="AF64" s="196">
        <f t="shared" si="13"/>
        <v>6.489545105829162</v>
      </c>
      <c r="AG64" s="198">
        <f t="shared" si="14"/>
        <v>4.2182043187889553</v>
      </c>
      <c r="AH64" s="191" t="e">
        <f t="shared" si="15"/>
        <v>#DIV/0!</v>
      </c>
      <c r="AI64" s="142">
        <f t="shared" si="16"/>
        <v>7205.6604989321186</v>
      </c>
      <c r="AJ64" s="192">
        <f t="shared" si="17"/>
        <v>4747.5600850378569</v>
      </c>
      <c r="AK64" s="82" t="e">
        <f>IF(AH64="-","-",AH64*NB_LQ_RA*'Regional data'!O4)</f>
        <v>#DIV/0!</v>
      </c>
      <c r="AL64" s="142">
        <f>IF(AI64="-","-",AI64*NB_MQ_RA*'Regional data'!P4)</f>
        <v>20390.4860927228</v>
      </c>
      <c r="AM64" s="134">
        <f>IF(AJ64="-","-",AJ64*NB_SQ_RA*'Regional data'!Q4)</f>
        <v>537383.39685960417</v>
      </c>
    </row>
    <row r="65" spans="2:39" x14ac:dyDescent="0.25">
      <c r="B65" s="80">
        <f>'Regional data'!B5</f>
        <v>3</v>
      </c>
      <c r="C65" s="85">
        <f>Coeff_wind_Erosion_CR*(365*(365-'Regional data'!V5)/235)*('Regional data'!W5/365*100/15)*1000</f>
        <v>69.475744680851065</v>
      </c>
      <c r="D65" s="142">
        <f>IF('Regional data'!F5&gt;0,'Regional data'!F5*Prod_CR*Size_dist_LQ_CR/(NB_LQ_CR*'Regional data'!C5),"-")</f>
        <v>1300</v>
      </c>
      <c r="E65" s="142">
        <f>IF('Regional data'!G5&gt;0,'Regional data'!G5*Prod_CR*Size_dist_MQ_CR/(NB_MQ_CR*'Regional data'!D5),"-")</f>
        <v>246.8354430379747</v>
      </c>
      <c r="F65" s="142">
        <f>IF('Regional data'!H5&gt;0,'Regional data'!H5*Prod_CR*Size_dist_SQ_CR/(NB_SQ_CR*'Regional data'!E5),"-")</f>
        <v>55.450236966824633</v>
      </c>
      <c r="G65" s="195">
        <f t="shared" si="0"/>
        <v>19.894367886486915</v>
      </c>
      <c r="H65" s="196">
        <f t="shared" si="1"/>
        <v>7.5548232480330064</v>
      </c>
      <c r="I65" s="198">
        <f t="shared" si="2"/>
        <v>5.5157370680544267</v>
      </c>
      <c r="J65" s="191">
        <f t="shared" si="3"/>
        <v>21687.537399921821</v>
      </c>
      <c r="K65" s="142">
        <f t="shared" si="4"/>
        <v>8352.77049610416</v>
      </c>
      <c r="L65" s="192">
        <f t="shared" si="5"/>
        <v>6141.2820848431666</v>
      </c>
      <c r="M65" s="142">
        <f>IF(J65="-","-",J65*NB_LQ_CR*'Regional data'!C5)</f>
        <v>233558.09507608117</v>
      </c>
      <c r="N65" s="142">
        <f>IF(K65="-","-",K65*NB_MQ_CR*'Regional data'!D5)</f>
        <v>1015182.8756803517</v>
      </c>
      <c r="O65" s="142">
        <f>IF(L65="-","-",L65*NB_SQ_CR*'Regional data'!E5)</f>
        <v>1329036.4306686241</v>
      </c>
      <c r="P65" s="141">
        <f>IF('Regional data'!L5&gt;0,'Regional data'!L5*Prod_CR*Size_dist_LQ_SG/(NB_LQ_SG*'Regional data'!I5),"-")</f>
        <v>603.33333333333326</v>
      </c>
      <c r="Q65" s="142">
        <f>IF('Regional data'!M5&gt;0,'Regional data'!M5*Prod_SG*Size_dist_MQ_SG/(NB_MQ_SG*'Regional data'!J5),"-")</f>
        <v>160.84123222748815</v>
      </c>
      <c r="R65" s="142">
        <f>IF('Regional data'!N5&gt;0,'Regional data'!N5*Prod_SG*Size_dist_SQ_SG/(NB_SQ_SG*'Regional data'!K5),"-")</f>
        <v>74.587912087912073</v>
      </c>
      <c r="S65" s="195">
        <f t="shared" si="6"/>
        <v>9.2330271473182854</v>
      </c>
      <c r="T65" s="196">
        <f t="shared" si="7"/>
        <v>4.9228225311531144</v>
      </c>
      <c r="U65" s="198">
        <f t="shared" si="8"/>
        <v>7.4193968148093354</v>
      </c>
      <c r="V65" s="191">
        <f t="shared" si="9"/>
        <v>10206.625006064738</v>
      </c>
      <c r="W65" s="142">
        <f t="shared" si="10"/>
        <v>5384.6581941572176</v>
      </c>
      <c r="X65" s="192">
        <f t="shared" si="11"/>
        <v>8227.7149656386046</v>
      </c>
      <c r="Y65" s="191">
        <f>IF(V65="-","-",V65*NB_LQ_SG*'Regional data'!I5)</f>
        <v>101502.34812661067</v>
      </c>
      <c r="Z65" s="142">
        <f>IF(W65="-","-",W65*NB_MQ_SG*'Regional data'!J5)</f>
        <v>1255428.5955438376</v>
      </c>
      <c r="AA65" s="192">
        <f>IF(X65="-","-",X65*NB_SQ_SG*'Regional data'!K5)</f>
        <v>3860813.5787195521</v>
      </c>
      <c r="AB65" s="141" t="e">
        <f>IF('Regional data'!R5&gt;0,'Regional data'!R5*Prod_RA*Size_dist_LQ_RA/(NB_LQ_RA*'Regional data'!O5),"-")</f>
        <v>#DIV/0!</v>
      </c>
      <c r="AC65" s="142">
        <f>IF('Regional data'!S5&gt;0,'Regional data'!S5*Prod_RA*Size_dist_MQ_RA/(NB_MQ_RA*'Regional data'!P5),"-")</f>
        <v>212.03007518796994</v>
      </c>
      <c r="AD65" s="142">
        <f>IF('Regional data'!T5&gt;0,'Regional data'!T5*Prod_RA*Size_dist_SQ_RA/(NB_SQ_RA*'Regional data'!Q5),"-")</f>
        <v>42.406015037593988</v>
      </c>
      <c r="AE65" s="195" t="e">
        <f t="shared" si="12"/>
        <v>#DIV/0!</v>
      </c>
      <c r="AF65" s="196">
        <f t="shared" si="13"/>
        <v>6.489545105829162</v>
      </c>
      <c r="AG65" s="198">
        <f t="shared" si="14"/>
        <v>4.2182043187889553</v>
      </c>
      <c r="AH65" s="191" t="e">
        <f t="shared" si="15"/>
        <v>#DIV/0!</v>
      </c>
      <c r="AI65" s="142">
        <f t="shared" si="16"/>
        <v>7205.6604989321186</v>
      </c>
      <c r="AJ65" s="192">
        <f t="shared" si="17"/>
        <v>4747.5600850378569</v>
      </c>
      <c r="AK65" s="82" t="e">
        <f>IF(AH65="-","-",AH65*NB_LQ_RA*'Regional data'!O5)</f>
        <v>#DIV/0!</v>
      </c>
      <c r="AL65" s="142">
        <f>IF(AI65="-","-",AI65*NB_MQ_RA*'Regional data'!P5)</f>
        <v>61171.4582781684</v>
      </c>
      <c r="AM65" s="134">
        <f>IF(AJ65="-","-",AJ65*NB_SQ_RA*'Regional data'!Q5)</f>
        <v>1074766.7937192083</v>
      </c>
    </row>
    <row r="66" spans="2:39" x14ac:dyDescent="0.25">
      <c r="B66" s="80">
        <f>'Regional data'!B6</f>
        <v>4</v>
      </c>
      <c r="C66" s="85">
        <f>Coeff_wind_Erosion_CR*(365*(365-'Regional data'!V6)/235)*('Regional data'!W6/365*100/15)*1000</f>
        <v>63.196595744680856</v>
      </c>
      <c r="D66" s="142">
        <f>IF('Regional data'!F6&gt;0,'Regional data'!F6*Prod_CR*Size_dist_LQ_CR/(NB_LQ_CR*'Regional data'!C6),"-")</f>
        <v>1300</v>
      </c>
      <c r="E66" s="142">
        <f>IF('Regional data'!G6&gt;0,'Regional data'!G6*Prod_CR*Size_dist_MQ_CR/(NB_MQ_CR*'Regional data'!D6),"-")</f>
        <v>246.83544303797464</v>
      </c>
      <c r="F66" s="142">
        <f>IF('Regional data'!H6&gt;0,'Regional data'!H6*Prod_CR*Size_dist_SQ_CR/(NB_SQ_CR*'Regional data'!E6),"-")</f>
        <v>55.45023696682464</v>
      </c>
      <c r="G66" s="195">
        <f t="shared" si="0"/>
        <v>19.894367886486915</v>
      </c>
      <c r="H66" s="196">
        <f t="shared" si="1"/>
        <v>7.5548232480330046</v>
      </c>
      <c r="I66" s="198">
        <f t="shared" si="2"/>
        <v>5.5157370680544284</v>
      </c>
      <c r="J66" s="191">
        <f t="shared" si="3"/>
        <v>21687.537399921821</v>
      </c>
      <c r="K66" s="142">
        <f t="shared" si="4"/>
        <v>8352.7704961041582</v>
      </c>
      <c r="L66" s="192">
        <f t="shared" si="5"/>
        <v>6141.2820848431684</v>
      </c>
      <c r="M66" s="142">
        <f>IF(J66="-","-",J66*NB_LQ_CR*'Regional data'!C6)</f>
        <v>350337.14261412172</v>
      </c>
      <c r="N66" s="142">
        <f>IF(K66="-","-",K66*NB_MQ_CR*'Regional data'!D6)</f>
        <v>338394.29189345054</v>
      </c>
      <c r="O66" s="142">
        <f>IF(L66="-","-",L66*NB_SQ_CR*'Regional data'!E6)</f>
        <v>498388.6615007341</v>
      </c>
      <c r="P66" s="141">
        <f>IF('Regional data'!L6&gt;0,'Regional data'!L6*Prod_CR*Size_dist_LQ_SG/(NB_LQ_SG*'Regional data'!I6),"-")</f>
        <v>603.33333333333337</v>
      </c>
      <c r="Q66" s="142">
        <f>IF('Regional data'!M6&gt;0,'Regional data'!M6*Prod_SG*Size_dist_MQ_SG/(NB_MQ_SG*'Regional data'!J6),"-")</f>
        <v>160.84123222748812</v>
      </c>
      <c r="R66" s="142">
        <f>IF('Regional data'!N6&gt;0,'Regional data'!N6*Prod_SG*Size_dist_SQ_SG/(NB_SQ_SG*'Regional data'!K6),"-")</f>
        <v>74.587912087912088</v>
      </c>
      <c r="S66" s="195">
        <f t="shared" si="6"/>
        <v>9.2330271473182854</v>
      </c>
      <c r="T66" s="196">
        <f t="shared" si="7"/>
        <v>4.9228225311531144</v>
      </c>
      <c r="U66" s="198">
        <f t="shared" si="8"/>
        <v>7.4193968148093381</v>
      </c>
      <c r="V66" s="191">
        <f t="shared" si="9"/>
        <v>10206.625006064738</v>
      </c>
      <c r="W66" s="142">
        <f t="shared" si="10"/>
        <v>5384.6581941572176</v>
      </c>
      <c r="X66" s="192">
        <f t="shared" si="11"/>
        <v>8227.7149656386082</v>
      </c>
      <c r="Y66" s="191">
        <f>IF(V66="-","-",V66*NB_LQ_SG*'Regional data'!I6)</f>
        <v>152253.522189916</v>
      </c>
      <c r="Z66" s="142">
        <f>IF(W66="-","-",W66*NB_MQ_SG*'Regional data'!J6)</f>
        <v>418476.19851461257</v>
      </c>
      <c r="AA66" s="192">
        <f>IF(X66="-","-",X66*NB_SQ_SG*'Regional data'!K6)</f>
        <v>1447805.0920198325</v>
      </c>
      <c r="AB66" s="141" t="e">
        <f>IF('Regional data'!R6&gt;0,'Regional data'!R6*Prod_RA*Size_dist_LQ_RA/(NB_LQ_RA*'Regional data'!O6),"-")</f>
        <v>#DIV/0!</v>
      </c>
      <c r="AC66" s="142">
        <f>IF('Regional data'!S6&gt;0,'Regional data'!S6*Prod_RA*Size_dist_MQ_RA/(NB_MQ_RA*'Regional data'!P6),"-")</f>
        <v>212.03007518796994</v>
      </c>
      <c r="AD66" s="142">
        <f>IF('Regional data'!T6&gt;0,'Regional data'!T6*Prod_RA*Size_dist_SQ_RA/(NB_SQ_RA*'Regional data'!Q6),"-")</f>
        <v>42.406015037593988</v>
      </c>
      <c r="AE66" s="195" t="e">
        <f t="shared" si="12"/>
        <v>#DIV/0!</v>
      </c>
      <c r="AF66" s="196">
        <f t="shared" si="13"/>
        <v>6.489545105829162</v>
      </c>
      <c r="AG66" s="198">
        <f t="shared" si="14"/>
        <v>4.2182043187889553</v>
      </c>
      <c r="AH66" s="191" t="e">
        <f t="shared" si="15"/>
        <v>#DIV/0!</v>
      </c>
      <c r="AI66" s="142">
        <f t="shared" si="16"/>
        <v>7205.6604989321186</v>
      </c>
      <c r="AJ66" s="192">
        <f t="shared" si="17"/>
        <v>4747.5600850378569</v>
      </c>
      <c r="AK66" s="82" t="e">
        <f>IF(AH66="-","-",AH66*NB_LQ_RA*'Regional data'!O6)</f>
        <v>#DIV/0!</v>
      </c>
      <c r="AL66" s="142">
        <f>IF(AI66="-","-",AI66*NB_MQ_RA*'Regional data'!P6)</f>
        <v>20390.4860927228</v>
      </c>
      <c r="AM66" s="134">
        <f>IF(AJ66="-","-",AJ66*NB_SQ_RA*'Regional data'!Q6)</f>
        <v>403037.54764470307</v>
      </c>
    </row>
    <row r="67" spans="2:39" x14ac:dyDescent="0.25">
      <c r="B67" s="80">
        <f>'Regional data'!B7</f>
        <v>5</v>
      </c>
      <c r="C67" s="85">
        <f>Coeff_wind_Erosion_CR*(365*(365-'Regional data'!V7)/235)*('Regional data'!W7/365*100/15)*1000</f>
        <v>82.034042553191512</v>
      </c>
      <c r="D67" s="142">
        <f>IF('Regional data'!F7&gt;0,'Regional data'!F7*Prod_CR*Size_dist_LQ_CR/(NB_LQ_CR*'Regional data'!C7),"-")</f>
        <v>1300</v>
      </c>
      <c r="E67" s="142">
        <f>IF('Regional data'!G7&gt;0,'Regional data'!G7*Prod_CR*Size_dist_MQ_CR/(NB_MQ_CR*'Regional data'!D7),"-")</f>
        <v>246.83544303797464</v>
      </c>
      <c r="F67" s="142">
        <f>IF('Regional data'!H7&gt;0,'Regional data'!H7*Prod_CR*Size_dist_SQ_CR/(NB_SQ_CR*'Regional data'!E7),"-")</f>
        <v>55.45023696682464</v>
      </c>
      <c r="G67" s="195">
        <f t="shared" si="0"/>
        <v>19.894367886486915</v>
      </c>
      <c r="H67" s="196">
        <f t="shared" si="1"/>
        <v>7.5548232480330046</v>
      </c>
      <c r="I67" s="198">
        <f t="shared" si="2"/>
        <v>5.5157370680544284</v>
      </c>
      <c r="J67" s="191">
        <f t="shared" si="3"/>
        <v>21687.537399921821</v>
      </c>
      <c r="K67" s="142">
        <f t="shared" si="4"/>
        <v>8352.7704961041582</v>
      </c>
      <c r="L67" s="192">
        <f t="shared" si="5"/>
        <v>6141.2820848431684</v>
      </c>
      <c r="M67" s="142">
        <f>IF(J67="-","-",J67*NB_LQ_CR*'Regional data'!C7)</f>
        <v>350337.14261412172</v>
      </c>
      <c r="N67" s="142">
        <f>IF(K67="-","-",K67*NB_MQ_CR*'Regional data'!D7)</f>
        <v>676788.58378690109</v>
      </c>
      <c r="O67" s="142">
        <f>IF(L67="-","-",L67*NB_SQ_CR*'Regional data'!E7)</f>
        <v>498388.6615007341</v>
      </c>
      <c r="P67" s="141">
        <f>IF('Regional data'!L7&gt;0,'Regional data'!L7*Prod_CR*Size_dist_LQ_SG/(NB_LQ_SG*'Regional data'!I7),"-")</f>
        <v>603.33333333333337</v>
      </c>
      <c r="Q67" s="142">
        <f>IF('Regional data'!M7&gt;0,'Regional data'!M7*Prod_SG*Size_dist_MQ_SG/(NB_MQ_SG*'Regional data'!J7),"-")</f>
        <v>160.84123222748812</v>
      </c>
      <c r="R67" s="142">
        <f>IF('Regional data'!N7&gt;0,'Regional data'!N7*Prod_SG*Size_dist_SQ_SG/(NB_SQ_SG*'Regional data'!K7),"-")</f>
        <v>74.587912087912088</v>
      </c>
      <c r="S67" s="195">
        <f t="shared" si="6"/>
        <v>9.2330271473182854</v>
      </c>
      <c r="T67" s="196">
        <f t="shared" si="7"/>
        <v>4.9228225311531144</v>
      </c>
      <c r="U67" s="198">
        <f t="shared" si="8"/>
        <v>7.4193968148093381</v>
      </c>
      <c r="V67" s="191">
        <f t="shared" si="9"/>
        <v>10206.625006064738</v>
      </c>
      <c r="W67" s="142">
        <f t="shared" si="10"/>
        <v>5384.6581941572176</v>
      </c>
      <c r="X67" s="192">
        <f t="shared" si="11"/>
        <v>8227.7149656386082</v>
      </c>
      <c r="Y67" s="191">
        <f>IF(V67="-","-",V67*NB_LQ_SG*'Regional data'!I7)</f>
        <v>152253.522189916</v>
      </c>
      <c r="Z67" s="142">
        <f>IF(W67="-","-",W67*NB_MQ_SG*'Regional data'!J7)</f>
        <v>836952.39702922513</v>
      </c>
      <c r="AA67" s="192">
        <f>IF(X67="-","-",X67*NB_SQ_SG*'Regional data'!K7)</f>
        <v>1447805.0920198325</v>
      </c>
      <c r="AB67" s="141" t="e">
        <f>IF('Regional data'!R7&gt;0,'Regional data'!R7*Prod_RA*Size_dist_LQ_RA/(NB_LQ_RA*'Regional data'!O7),"-")</f>
        <v>#DIV/0!</v>
      </c>
      <c r="AC67" s="142">
        <f>IF('Regional data'!S7&gt;0,'Regional data'!S7*Prod_RA*Size_dist_MQ_RA/(NB_MQ_RA*'Regional data'!P7),"-")</f>
        <v>212.03007518796994</v>
      </c>
      <c r="AD67" s="142">
        <f>IF('Regional data'!T7&gt;0,'Regional data'!T7*Prod_RA*Size_dist_SQ_RA/(NB_SQ_RA*'Regional data'!Q7),"-")</f>
        <v>42.406015037593988</v>
      </c>
      <c r="AE67" s="195" t="e">
        <f t="shared" si="12"/>
        <v>#DIV/0!</v>
      </c>
      <c r="AF67" s="196">
        <f t="shared" si="13"/>
        <v>6.489545105829162</v>
      </c>
      <c r="AG67" s="198">
        <f t="shared" si="14"/>
        <v>4.2182043187889553</v>
      </c>
      <c r="AH67" s="191" t="e">
        <f t="shared" si="15"/>
        <v>#DIV/0!</v>
      </c>
      <c r="AI67" s="142">
        <f t="shared" si="16"/>
        <v>7205.6604989321186</v>
      </c>
      <c r="AJ67" s="192">
        <f t="shared" si="17"/>
        <v>4747.5600850378569</v>
      </c>
      <c r="AK67" s="82" t="e">
        <f>IF(AH67="-","-",AH67*NB_LQ_RA*'Regional data'!O7)</f>
        <v>#DIV/0!</v>
      </c>
      <c r="AL67" s="142">
        <f>IF(AI67="-","-",AI67*NB_MQ_RA*'Regional data'!P7)</f>
        <v>40780.9721854456</v>
      </c>
      <c r="AM67" s="134">
        <f>IF(AJ67="-","-",AJ67*NB_SQ_RA*'Regional data'!Q7)</f>
        <v>403037.54764470307</v>
      </c>
    </row>
    <row r="68" spans="2:39" x14ac:dyDescent="0.25">
      <c r="B68" s="80">
        <f>'Regional data'!B8</f>
        <v>0</v>
      </c>
      <c r="C68" s="85">
        <f>Coeff_wind_Erosion_CR*(365*(365-'Regional data'!V8)/235)*('Regional data'!W8/365*100/15)*1000</f>
        <v>0</v>
      </c>
      <c r="D68" s="142" t="str">
        <f>IF('Regional data'!F8&gt;0,'Regional data'!F8*Prod_CR*Size_dist_LQ_CR/(NB_LQ_CR*'Regional data'!C8),"-")</f>
        <v>-</v>
      </c>
      <c r="E68" s="142" t="str">
        <f>IF('Regional data'!G8&gt;0,'Regional data'!G8*Prod_CR*Size_dist_MQ_CR/(NB_MQ_CR*'Regional data'!D8),"-")</f>
        <v>-</v>
      </c>
      <c r="F68" s="142" t="str">
        <f>IF('Regional data'!H8&gt;0,'Regional data'!H8*Prod_CR*Size_dist_SQ_CR/(NB_SQ_CR*'Regional data'!E8),"-")</f>
        <v>-</v>
      </c>
      <c r="G68" s="195" t="str">
        <f t="shared" si="0"/>
        <v>-</v>
      </c>
      <c r="H68" s="196" t="str">
        <f t="shared" si="1"/>
        <v>-</v>
      </c>
      <c r="I68" s="198" t="str">
        <f t="shared" si="2"/>
        <v>-</v>
      </c>
      <c r="J68" s="191" t="str">
        <f t="shared" si="3"/>
        <v>-</v>
      </c>
      <c r="K68" s="142" t="str">
        <f t="shared" si="4"/>
        <v>-</v>
      </c>
      <c r="L68" s="192" t="str">
        <f t="shared" si="5"/>
        <v>-</v>
      </c>
      <c r="M68" s="142" t="str">
        <f>IF(J68="-","-",J68*NB_LQ_CR*'Regional data'!C8)</f>
        <v>-</v>
      </c>
      <c r="N68" s="142" t="str">
        <f>IF(K68="-","-",K68*NB_MQ_CR*'Regional data'!D8)</f>
        <v>-</v>
      </c>
      <c r="O68" s="142" t="str">
        <f>IF(L68="-","-",L68*NB_SQ_CR*'Regional data'!E8)</f>
        <v>-</v>
      </c>
      <c r="P68" s="141" t="str">
        <f>IF('Regional data'!L8&gt;0,'Regional data'!L8*Prod_CR*Size_dist_LQ_SG/(NB_LQ_SG*'Regional data'!I8),"-")</f>
        <v>-</v>
      </c>
      <c r="Q68" s="142" t="str">
        <f>IF('Regional data'!M8&gt;0,'Regional data'!M8*Prod_SG*Size_dist_MQ_SG/(NB_MQ_SG*'Regional data'!J8),"-")</f>
        <v>-</v>
      </c>
      <c r="R68" s="142" t="str">
        <f>IF('Regional data'!N8&gt;0,'Regional data'!N8*Prod_SG*Size_dist_SQ_SG/(NB_SQ_SG*'Regional data'!K8),"-")</f>
        <v>-</v>
      </c>
      <c r="S68" s="195" t="str">
        <f t="shared" si="6"/>
        <v>-</v>
      </c>
      <c r="T68" s="196" t="str">
        <f t="shared" si="7"/>
        <v>-</v>
      </c>
      <c r="U68" s="198" t="str">
        <f t="shared" si="8"/>
        <v>-</v>
      </c>
      <c r="V68" s="191" t="str">
        <f t="shared" si="9"/>
        <v>-</v>
      </c>
      <c r="W68" s="142" t="str">
        <f t="shared" si="10"/>
        <v>-</v>
      </c>
      <c r="X68" s="192" t="str">
        <f t="shared" si="11"/>
        <v>-</v>
      </c>
      <c r="Y68" s="191" t="str">
        <f>IF(V68="-","-",V68*NB_LQ_SG*'Regional data'!I8)</f>
        <v>-</v>
      </c>
      <c r="Z68" s="142" t="str">
        <f>IF(W68="-","-",W68*NB_MQ_SG*'Regional data'!J8)</f>
        <v>-</v>
      </c>
      <c r="AA68" s="192" t="str">
        <f>IF(X68="-","-",X68*NB_SQ_SG*'Regional data'!K8)</f>
        <v>-</v>
      </c>
      <c r="AB68" s="141" t="str">
        <f>IF('Regional data'!R8&gt;0,'Regional data'!R8*Prod_RA*Size_dist_LQ_RA/(NB_LQ_RA*'Regional data'!O8),"-")</f>
        <v>-</v>
      </c>
      <c r="AC68" s="142" t="str">
        <f>IF('Regional data'!S8&gt;0,'Regional data'!S8*Prod_RA*Size_dist_MQ_RA/(NB_MQ_RA*'Regional data'!P8),"-")</f>
        <v>-</v>
      </c>
      <c r="AD68" s="142" t="str">
        <f>IF('Regional data'!T8&gt;0,'Regional data'!T8*Prod_RA*Size_dist_SQ_RA/(NB_SQ_RA*'Regional data'!Q8),"-")</f>
        <v>-</v>
      </c>
      <c r="AE68" s="195" t="str">
        <f t="shared" si="12"/>
        <v>-</v>
      </c>
      <c r="AF68" s="196" t="str">
        <f t="shared" si="13"/>
        <v>-</v>
      </c>
      <c r="AG68" s="198" t="str">
        <f t="shared" si="14"/>
        <v>-</v>
      </c>
      <c r="AH68" s="191" t="str">
        <f t="shared" si="15"/>
        <v>-</v>
      </c>
      <c r="AI68" s="142" t="str">
        <f t="shared" si="16"/>
        <v>-</v>
      </c>
      <c r="AJ68" s="192" t="str">
        <f t="shared" si="17"/>
        <v>-</v>
      </c>
      <c r="AK68" s="82" t="str">
        <f>IF(AH68="-","-",AH68*NB_LQ_RA*'Regional data'!O8)</f>
        <v>-</v>
      </c>
      <c r="AL68" s="142" t="str">
        <f>IF(AI68="-","-",AI68*NB_MQ_RA*'Regional data'!P8)</f>
        <v>-</v>
      </c>
      <c r="AM68" s="134" t="str">
        <f>IF(AJ68="-","-",AJ68*NB_SQ_RA*'Regional data'!Q8)</f>
        <v>-</v>
      </c>
    </row>
    <row r="69" spans="2:39" x14ac:dyDescent="0.25">
      <c r="B69" s="80">
        <f>'Regional data'!B9</f>
        <v>0</v>
      </c>
      <c r="C69" s="85">
        <f>Coeff_wind_Erosion_CR*(365*(365-'Regional data'!V9)/235)*('Regional data'!W9/365*100/15)*1000</f>
        <v>0</v>
      </c>
      <c r="D69" s="142" t="str">
        <f>IF('Regional data'!F9&gt;0,'Regional data'!F9*Prod_CR*Size_dist_LQ_CR/(NB_LQ_CR*'Regional data'!C9),"-")</f>
        <v>-</v>
      </c>
      <c r="E69" s="142" t="str">
        <f>IF('Regional data'!G9&gt;0,'Regional data'!G9*Prod_CR*Size_dist_MQ_CR/(NB_MQ_CR*'Regional data'!D9),"-")</f>
        <v>-</v>
      </c>
      <c r="F69" s="142" t="str">
        <f>IF('Regional data'!H9&gt;0,'Regional data'!H9*Prod_CR*Size_dist_SQ_CR/(NB_SQ_CR*'Regional data'!E9),"-")</f>
        <v>-</v>
      </c>
      <c r="G69" s="195" t="str">
        <f t="shared" si="0"/>
        <v>-</v>
      </c>
      <c r="H69" s="196" t="str">
        <f t="shared" si="1"/>
        <v>-</v>
      </c>
      <c r="I69" s="198" t="str">
        <f t="shared" si="2"/>
        <v>-</v>
      </c>
      <c r="J69" s="191" t="str">
        <f t="shared" si="3"/>
        <v>-</v>
      </c>
      <c r="K69" s="142" t="str">
        <f t="shared" si="4"/>
        <v>-</v>
      </c>
      <c r="L69" s="192" t="str">
        <f t="shared" si="5"/>
        <v>-</v>
      </c>
      <c r="M69" s="142" t="str">
        <f>IF(J69="-","-",J69*NB_LQ_CR*'Regional data'!C9)</f>
        <v>-</v>
      </c>
      <c r="N69" s="142" t="str">
        <f>IF(K69="-","-",K69*NB_MQ_CR*'Regional data'!D9)</f>
        <v>-</v>
      </c>
      <c r="O69" s="142" t="str">
        <f>IF(L69="-","-",L69*NB_SQ_CR*'Regional data'!E9)</f>
        <v>-</v>
      </c>
      <c r="P69" s="141" t="str">
        <f>IF('Regional data'!L9&gt;0,'Regional data'!L9*Prod_CR*Size_dist_LQ_SG/(NB_LQ_SG*'Regional data'!I9),"-")</f>
        <v>-</v>
      </c>
      <c r="Q69" s="142" t="str">
        <f>IF('Regional data'!M9&gt;0,'Regional data'!M9*Prod_SG*Size_dist_MQ_SG/(NB_MQ_SG*'Regional data'!J9),"-")</f>
        <v>-</v>
      </c>
      <c r="R69" s="142" t="str">
        <f>IF('Regional data'!N9&gt;0,'Regional data'!N9*Prod_SG*Size_dist_SQ_SG/(NB_SQ_SG*'Regional data'!K9),"-")</f>
        <v>-</v>
      </c>
      <c r="S69" s="195" t="str">
        <f t="shared" si="6"/>
        <v>-</v>
      </c>
      <c r="T69" s="196" t="str">
        <f t="shared" si="7"/>
        <v>-</v>
      </c>
      <c r="U69" s="198" t="str">
        <f t="shared" si="8"/>
        <v>-</v>
      </c>
      <c r="V69" s="191" t="str">
        <f t="shared" si="9"/>
        <v>-</v>
      </c>
      <c r="W69" s="142" t="str">
        <f t="shared" si="10"/>
        <v>-</v>
      </c>
      <c r="X69" s="192" t="str">
        <f t="shared" si="11"/>
        <v>-</v>
      </c>
      <c r="Y69" s="191" t="str">
        <f>IF(V69="-","-",V69*NB_LQ_SG*'Regional data'!I9)</f>
        <v>-</v>
      </c>
      <c r="Z69" s="142" t="str">
        <f>IF(W69="-","-",W69*NB_MQ_SG*'Regional data'!J9)</f>
        <v>-</v>
      </c>
      <c r="AA69" s="192" t="str">
        <f>IF(X69="-","-",X69*NB_SQ_SG*'Regional data'!K9)</f>
        <v>-</v>
      </c>
      <c r="AB69" s="141" t="str">
        <f>IF('Regional data'!R9&gt;0,'Regional data'!R9*Prod_RA*Size_dist_LQ_RA/(NB_LQ_RA*'Regional data'!O9),"-")</f>
        <v>-</v>
      </c>
      <c r="AC69" s="142" t="str">
        <f>IF('Regional data'!S9&gt;0,'Regional data'!S9*Prod_RA*Size_dist_MQ_RA/(NB_MQ_RA*'Regional data'!P9),"-")</f>
        <v>-</v>
      </c>
      <c r="AD69" s="142" t="str">
        <f>IF('Regional data'!T9&gt;0,'Regional data'!T9*Prod_RA*Size_dist_SQ_RA/(NB_SQ_RA*'Regional data'!Q9),"-")</f>
        <v>-</v>
      </c>
      <c r="AE69" s="195" t="str">
        <f t="shared" si="12"/>
        <v>-</v>
      </c>
      <c r="AF69" s="196" t="str">
        <f t="shared" si="13"/>
        <v>-</v>
      </c>
      <c r="AG69" s="198" t="str">
        <f t="shared" si="14"/>
        <v>-</v>
      </c>
      <c r="AH69" s="191" t="str">
        <f t="shared" si="15"/>
        <v>-</v>
      </c>
      <c r="AI69" s="142" t="str">
        <f t="shared" si="16"/>
        <v>-</v>
      </c>
      <c r="AJ69" s="192" t="str">
        <f t="shared" si="17"/>
        <v>-</v>
      </c>
      <c r="AK69" s="82" t="str">
        <f>IF(AH69="-","-",AH69*NB_LQ_RA*'Regional data'!O9)</f>
        <v>-</v>
      </c>
      <c r="AL69" s="142" t="str">
        <f>IF(AI69="-","-",AI69*NB_MQ_RA*'Regional data'!P9)</f>
        <v>-</v>
      </c>
      <c r="AM69" s="134" t="str">
        <f>IF(AJ69="-","-",AJ69*NB_SQ_RA*'Regional data'!Q9)</f>
        <v>-</v>
      </c>
    </row>
    <row r="70" spans="2:39" x14ac:dyDescent="0.25">
      <c r="B70" s="80">
        <f>'Regional data'!B10</f>
        <v>0</v>
      </c>
      <c r="C70" s="85">
        <f>Coeff_wind_Erosion_CR*(365*(365-'Regional data'!V10)/235)*('Regional data'!W10/365*100/15)*1000</f>
        <v>0</v>
      </c>
      <c r="D70" s="142" t="str">
        <f>IF('Regional data'!F10&gt;0,'Regional data'!F10*Prod_CR*Size_dist_LQ_CR/(NB_LQ_CR*'Regional data'!C10),"-")</f>
        <v>-</v>
      </c>
      <c r="E70" s="142" t="str">
        <f>IF('Regional data'!G10&gt;0,'Regional data'!G10*Prod_CR*Size_dist_MQ_CR/(NB_MQ_CR*'Regional data'!D10),"-")</f>
        <v>-</v>
      </c>
      <c r="F70" s="142" t="str">
        <f>IF('Regional data'!H10&gt;0,'Regional data'!H10*Prod_CR*Size_dist_SQ_CR/(NB_SQ_CR*'Regional data'!E10),"-")</f>
        <v>-</v>
      </c>
      <c r="G70" s="195" t="str">
        <f t="shared" si="0"/>
        <v>-</v>
      </c>
      <c r="H70" s="196" t="str">
        <f t="shared" si="1"/>
        <v>-</v>
      </c>
      <c r="I70" s="198" t="str">
        <f t="shared" si="2"/>
        <v>-</v>
      </c>
      <c r="J70" s="191" t="str">
        <f t="shared" si="3"/>
        <v>-</v>
      </c>
      <c r="K70" s="142" t="str">
        <f t="shared" si="4"/>
        <v>-</v>
      </c>
      <c r="L70" s="192" t="str">
        <f t="shared" si="5"/>
        <v>-</v>
      </c>
      <c r="M70" s="142" t="str">
        <f>IF(J70="-","-",J70*NB_LQ_CR*'Regional data'!C10)</f>
        <v>-</v>
      </c>
      <c r="N70" s="142" t="str">
        <f>IF(K70="-","-",K70*NB_MQ_CR*'Regional data'!D10)</f>
        <v>-</v>
      </c>
      <c r="O70" s="142" t="str">
        <f>IF(L70="-","-",L70*NB_SQ_CR*'Regional data'!E10)</f>
        <v>-</v>
      </c>
      <c r="P70" s="141" t="str">
        <f>IF('Regional data'!L10&gt;0,'Regional data'!L10*Prod_CR*Size_dist_LQ_SG/(NB_LQ_SG*'Regional data'!I10),"-")</f>
        <v>-</v>
      </c>
      <c r="Q70" s="142" t="str">
        <f>IF('Regional data'!M10&gt;0,'Regional data'!M10*Prod_SG*Size_dist_MQ_SG/(NB_MQ_SG*'Regional data'!J10),"-")</f>
        <v>-</v>
      </c>
      <c r="R70" s="142" t="str">
        <f>IF('Regional data'!N10&gt;0,'Regional data'!N10*Prod_SG*Size_dist_SQ_SG/(NB_SQ_SG*'Regional data'!K10),"-")</f>
        <v>-</v>
      </c>
      <c r="S70" s="195" t="str">
        <f t="shared" si="6"/>
        <v>-</v>
      </c>
      <c r="T70" s="196" t="str">
        <f t="shared" si="7"/>
        <v>-</v>
      </c>
      <c r="U70" s="198" t="str">
        <f t="shared" si="8"/>
        <v>-</v>
      </c>
      <c r="V70" s="191" t="str">
        <f t="shared" si="9"/>
        <v>-</v>
      </c>
      <c r="W70" s="142" t="str">
        <f t="shared" si="10"/>
        <v>-</v>
      </c>
      <c r="X70" s="192" t="str">
        <f t="shared" si="11"/>
        <v>-</v>
      </c>
      <c r="Y70" s="191" t="str">
        <f>IF(V70="-","-",V70*NB_LQ_SG*'Regional data'!I10)</f>
        <v>-</v>
      </c>
      <c r="Z70" s="142" t="str">
        <f>IF(W70="-","-",W70*NB_MQ_SG*'Regional data'!J10)</f>
        <v>-</v>
      </c>
      <c r="AA70" s="192" t="str">
        <f>IF(X70="-","-",X70*NB_SQ_SG*'Regional data'!K10)</f>
        <v>-</v>
      </c>
      <c r="AB70" s="141" t="str">
        <f>IF('Regional data'!R10&gt;0,'Regional data'!R10*Prod_RA*Size_dist_LQ_RA/(NB_LQ_RA*'Regional data'!O10),"-")</f>
        <v>-</v>
      </c>
      <c r="AC70" s="142" t="str">
        <f>IF('Regional data'!S10&gt;0,'Regional data'!S10*Prod_RA*Size_dist_MQ_RA/(NB_MQ_RA*'Regional data'!P10),"-")</f>
        <v>-</v>
      </c>
      <c r="AD70" s="142" t="str">
        <f>IF('Regional data'!T10&gt;0,'Regional data'!T10*Prod_RA*Size_dist_SQ_RA/(NB_SQ_RA*'Regional data'!Q10),"-")</f>
        <v>-</v>
      </c>
      <c r="AE70" s="195" t="str">
        <f t="shared" si="12"/>
        <v>-</v>
      </c>
      <c r="AF70" s="196" t="str">
        <f t="shared" si="13"/>
        <v>-</v>
      </c>
      <c r="AG70" s="198" t="str">
        <f t="shared" si="14"/>
        <v>-</v>
      </c>
      <c r="AH70" s="191" t="str">
        <f t="shared" si="15"/>
        <v>-</v>
      </c>
      <c r="AI70" s="142" t="str">
        <f t="shared" si="16"/>
        <v>-</v>
      </c>
      <c r="AJ70" s="192" t="str">
        <f t="shared" si="17"/>
        <v>-</v>
      </c>
      <c r="AK70" s="82" t="str">
        <f>IF(AH70="-","-",AH70*NB_LQ_RA*'Regional data'!O10)</f>
        <v>-</v>
      </c>
      <c r="AL70" s="142" t="str">
        <f>IF(AI70="-","-",AI70*NB_MQ_RA*'Regional data'!P10)</f>
        <v>-</v>
      </c>
      <c r="AM70" s="134" t="str">
        <f>IF(AJ70="-","-",AJ70*NB_SQ_RA*'Regional data'!Q10)</f>
        <v>-</v>
      </c>
    </row>
    <row r="71" spans="2:39" x14ac:dyDescent="0.25">
      <c r="B71" s="80">
        <f>'Regional data'!B11</f>
        <v>0</v>
      </c>
      <c r="C71" s="85">
        <f>Coeff_wind_Erosion_CR*(365*(365-'Regional data'!V11)/235)*('Regional data'!W11/365*100/15)*1000</f>
        <v>0</v>
      </c>
      <c r="D71" s="142" t="str">
        <f>IF('Regional data'!F11&gt;0,'Regional data'!F11*Prod_CR*Size_dist_LQ_CR/(NB_LQ_CR*'Regional data'!C11),"-")</f>
        <v>-</v>
      </c>
      <c r="E71" s="142" t="str">
        <f>IF('Regional data'!G11&gt;0,'Regional data'!G11*Prod_CR*Size_dist_MQ_CR/(NB_MQ_CR*'Regional data'!D11),"-")</f>
        <v>-</v>
      </c>
      <c r="F71" s="142" t="str">
        <f>IF('Regional data'!H11&gt;0,'Regional data'!H11*Prod_CR*Size_dist_SQ_CR/(NB_SQ_CR*'Regional data'!E11),"-")</f>
        <v>-</v>
      </c>
      <c r="G71" s="195" t="str">
        <f t="shared" si="0"/>
        <v>-</v>
      </c>
      <c r="H71" s="196" t="str">
        <f t="shared" si="1"/>
        <v>-</v>
      </c>
      <c r="I71" s="198" t="str">
        <f t="shared" si="2"/>
        <v>-</v>
      </c>
      <c r="J71" s="191" t="str">
        <f t="shared" si="3"/>
        <v>-</v>
      </c>
      <c r="K71" s="142" t="str">
        <f t="shared" si="4"/>
        <v>-</v>
      </c>
      <c r="L71" s="192" t="str">
        <f t="shared" si="5"/>
        <v>-</v>
      </c>
      <c r="M71" s="142" t="str">
        <f>IF(J71="-","-",J71*NB_LQ_CR*'Regional data'!C11)</f>
        <v>-</v>
      </c>
      <c r="N71" s="142" t="str">
        <f>IF(K71="-","-",K71*NB_MQ_CR*'Regional data'!D11)</f>
        <v>-</v>
      </c>
      <c r="O71" s="142" t="str">
        <f>IF(L71="-","-",L71*NB_SQ_CR*'Regional data'!E11)</f>
        <v>-</v>
      </c>
      <c r="P71" s="141" t="str">
        <f>IF('Regional data'!L11&gt;0,'Regional data'!L11*Prod_CR*Size_dist_LQ_SG/(NB_LQ_SG*'Regional data'!I11),"-")</f>
        <v>-</v>
      </c>
      <c r="Q71" s="142" t="str">
        <f>IF('Regional data'!M11&gt;0,'Regional data'!M11*Prod_SG*Size_dist_MQ_SG/(NB_MQ_SG*'Regional data'!J11),"-")</f>
        <v>-</v>
      </c>
      <c r="R71" s="142" t="str">
        <f>IF('Regional data'!N11&gt;0,'Regional data'!N11*Prod_SG*Size_dist_SQ_SG/(NB_SQ_SG*'Regional data'!K11),"-")</f>
        <v>-</v>
      </c>
      <c r="S71" s="195" t="str">
        <f t="shared" si="6"/>
        <v>-</v>
      </c>
      <c r="T71" s="196" t="str">
        <f t="shared" si="7"/>
        <v>-</v>
      </c>
      <c r="U71" s="198" t="str">
        <f t="shared" si="8"/>
        <v>-</v>
      </c>
      <c r="V71" s="191" t="str">
        <f t="shared" si="9"/>
        <v>-</v>
      </c>
      <c r="W71" s="142" t="str">
        <f t="shared" si="10"/>
        <v>-</v>
      </c>
      <c r="X71" s="192" t="str">
        <f t="shared" si="11"/>
        <v>-</v>
      </c>
      <c r="Y71" s="191" t="str">
        <f>IF(V71="-","-",V71*NB_LQ_SG*'Regional data'!I11)</f>
        <v>-</v>
      </c>
      <c r="Z71" s="142" t="str">
        <f>IF(W71="-","-",W71*NB_MQ_SG*'Regional data'!J11)</f>
        <v>-</v>
      </c>
      <c r="AA71" s="192" t="str">
        <f>IF(X71="-","-",X71*NB_SQ_SG*'Regional data'!K11)</f>
        <v>-</v>
      </c>
      <c r="AB71" s="141" t="str">
        <f>IF('Regional data'!R11&gt;0,'Regional data'!R11*Prod_RA*Size_dist_LQ_RA/(NB_LQ_RA*'Regional data'!O11),"-")</f>
        <v>-</v>
      </c>
      <c r="AC71" s="142" t="str">
        <f>IF('Regional data'!S11&gt;0,'Regional data'!S11*Prod_RA*Size_dist_MQ_RA/(NB_MQ_RA*'Regional data'!P11),"-")</f>
        <v>-</v>
      </c>
      <c r="AD71" s="142" t="str">
        <f>IF('Regional data'!T11&gt;0,'Regional data'!T11*Prod_RA*Size_dist_SQ_RA/(NB_SQ_RA*'Regional data'!Q11),"-")</f>
        <v>-</v>
      </c>
      <c r="AE71" s="195" t="str">
        <f t="shared" si="12"/>
        <v>-</v>
      </c>
      <c r="AF71" s="196" t="str">
        <f t="shared" si="13"/>
        <v>-</v>
      </c>
      <c r="AG71" s="198" t="str">
        <f t="shared" si="14"/>
        <v>-</v>
      </c>
      <c r="AH71" s="191" t="str">
        <f t="shared" si="15"/>
        <v>-</v>
      </c>
      <c r="AI71" s="142" t="str">
        <f t="shared" si="16"/>
        <v>-</v>
      </c>
      <c r="AJ71" s="192" t="str">
        <f t="shared" si="17"/>
        <v>-</v>
      </c>
      <c r="AK71" s="82" t="str">
        <f>IF(AH71="-","-",AH71*NB_LQ_RA*'Regional data'!O11)</f>
        <v>-</v>
      </c>
      <c r="AL71" s="142" t="str">
        <f>IF(AI71="-","-",AI71*NB_MQ_RA*'Regional data'!P11)</f>
        <v>-</v>
      </c>
      <c r="AM71" s="134" t="str">
        <f>IF(AJ71="-","-",AJ71*NB_SQ_RA*'Regional data'!Q11)</f>
        <v>-</v>
      </c>
    </row>
    <row r="72" spans="2:39" x14ac:dyDescent="0.25">
      <c r="B72" s="80">
        <f>'Regional data'!B12</f>
        <v>0</v>
      </c>
      <c r="C72" s="85">
        <f>Coeff_wind_Erosion_CR*(365*(365-'Regional data'!V12)/235)*('Regional data'!W12/365*100/15)*1000</f>
        <v>0</v>
      </c>
      <c r="D72" s="142" t="str">
        <f>IF('Regional data'!F12&gt;0,'Regional data'!F12*Prod_CR*Size_dist_LQ_CR/(NB_LQ_CR*'Regional data'!C12),"-")</f>
        <v>-</v>
      </c>
      <c r="E72" s="142" t="str">
        <f>IF('Regional data'!G12&gt;0,'Regional data'!G12*Prod_CR*Size_dist_MQ_CR/(NB_MQ_CR*'Regional data'!D12),"-")</f>
        <v>-</v>
      </c>
      <c r="F72" s="142" t="str">
        <f>IF('Regional data'!H12&gt;0,'Regional data'!H12*Prod_CR*Size_dist_SQ_CR/(NB_SQ_CR*'Regional data'!E12),"-")</f>
        <v>-</v>
      </c>
      <c r="G72" s="195" t="str">
        <f t="shared" si="0"/>
        <v>-</v>
      </c>
      <c r="H72" s="196" t="str">
        <f t="shared" si="1"/>
        <v>-</v>
      </c>
      <c r="I72" s="198" t="str">
        <f t="shared" si="2"/>
        <v>-</v>
      </c>
      <c r="J72" s="191" t="str">
        <f t="shared" si="3"/>
        <v>-</v>
      </c>
      <c r="K72" s="142" t="str">
        <f t="shared" si="4"/>
        <v>-</v>
      </c>
      <c r="L72" s="192" t="str">
        <f t="shared" si="5"/>
        <v>-</v>
      </c>
      <c r="M72" s="142" t="str">
        <f>IF(J72="-","-",J72*NB_LQ_CR*'Regional data'!C12)</f>
        <v>-</v>
      </c>
      <c r="N72" s="142" t="str">
        <f>IF(K72="-","-",K72*NB_MQ_CR*'Regional data'!D12)</f>
        <v>-</v>
      </c>
      <c r="O72" s="142" t="str">
        <f>IF(L72="-","-",L72*NB_SQ_CR*'Regional data'!E12)</f>
        <v>-</v>
      </c>
      <c r="P72" s="141" t="str">
        <f>IF('Regional data'!L12&gt;0,'Regional data'!L12*Prod_CR*Size_dist_LQ_SG/(NB_LQ_SG*'Regional data'!I12),"-")</f>
        <v>-</v>
      </c>
      <c r="Q72" s="142" t="str">
        <f>IF('Regional data'!M12&gt;0,'Regional data'!M12*Prod_SG*Size_dist_MQ_SG/(NB_MQ_SG*'Regional data'!J12),"-")</f>
        <v>-</v>
      </c>
      <c r="R72" s="142" t="str">
        <f>IF('Regional data'!N12&gt;0,'Regional data'!N12*Prod_SG*Size_dist_SQ_SG/(NB_SQ_SG*'Regional data'!K12),"-")</f>
        <v>-</v>
      </c>
      <c r="S72" s="195" t="str">
        <f t="shared" si="6"/>
        <v>-</v>
      </c>
      <c r="T72" s="196" t="str">
        <f t="shared" si="7"/>
        <v>-</v>
      </c>
      <c r="U72" s="198" t="str">
        <f t="shared" si="8"/>
        <v>-</v>
      </c>
      <c r="V72" s="191" t="str">
        <f t="shared" si="9"/>
        <v>-</v>
      </c>
      <c r="W72" s="142" t="str">
        <f t="shared" si="10"/>
        <v>-</v>
      </c>
      <c r="X72" s="192" t="str">
        <f t="shared" si="11"/>
        <v>-</v>
      </c>
      <c r="Y72" s="191" t="str">
        <f>IF(V72="-","-",V72*NB_LQ_SG*'Regional data'!I12)</f>
        <v>-</v>
      </c>
      <c r="Z72" s="142" t="str">
        <f>IF(W72="-","-",W72*NB_MQ_SG*'Regional data'!J12)</f>
        <v>-</v>
      </c>
      <c r="AA72" s="192" t="str">
        <f>IF(X72="-","-",X72*NB_SQ_SG*'Regional data'!K12)</f>
        <v>-</v>
      </c>
      <c r="AB72" s="141" t="str">
        <f>IF('Regional data'!R12&gt;0,'Regional data'!R12*Prod_RA*Size_dist_LQ_RA/(NB_LQ_RA*'Regional data'!O12),"-")</f>
        <v>-</v>
      </c>
      <c r="AC72" s="142" t="str">
        <f>IF('Regional data'!S12&gt;0,'Regional data'!S12*Prod_RA*Size_dist_MQ_RA/(NB_MQ_RA*'Regional data'!P12),"-")</f>
        <v>-</v>
      </c>
      <c r="AD72" s="142" t="str">
        <f>IF('Regional data'!T12&gt;0,'Regional data'!T12*Prod_RA*Size_dist_SQ_RA/(NB_SQ_RA*'Regional data'!Q12),"-")</f>
        <v>-</v>
      </c>
      <c r="AE72" s="195" t="str">
        <f t="shared" si="12"/>
        <v>-</v>
      </c>
      <c r="AF72" s="196" t="str">
        <f t="shared" si="13"/>
        <v>-</v>
      </c>
      <c r="AG72" s="198" t="str">
        <f t="shared" si="14"/>
        <v>-</v>
      </c>
      <c r="AH72" s="191" t="str">
        <f t="shared" si="15"/>
        <v>-</v>
      </c>
      <c r="AI72" s="142" t="str">
        <f t="shared" si="16"/>
        <v>-</v>
      </c>
      <c r="AJ72" s="192" t="str">
        <f t="shared" si="17"/>
        <v>-</v>
      </c>
      <c r="AK72" s="82" t="str">
        <f>IF(AH72="-","-",AH72*NB_LQ_RA*'Regional data'!O12)</f>
        <v>-</v>
      </c>
      <c r="AL72" s="142" t="str">
        <f>IF(AI72="-","-",AI72*NB_MQ_RA*'Regional data'!P12)</f>
        <v>-</v>
      </c>
      <c r="AM72" s="134" t="str">
        <f>IF(AJ72="-","-",AJ72*NB_SQ_RA*'Regional data'!Q12)</f>
        <v>-</v>
      </c>
    </row>
    <row r="73" spans="2:39" x14ac:dyDescent="0.25">
      <c r="B73" s="80">
        <f>'Regional data'!B13</f>
        <v>0</v>
      </c>
      <c r="C73" s="85">
        <f>Coeff_wind_Erosion_CR*(365*(365-'Regional data'!V13)/235)*('Regional data'!W13/365*100/15)*1000</f>
        <v>0</v>
      </c>
      <c r="D73" s="142" t="str">
        <f>IF('Regional data'!F13&gt;0,'Regional data'!F13*Prod_CR*Size_dist_LQ_CR/(NB_LQ_CR*'Regional data'!C13),"-")</f>
        <v>-</v>
      </c>
      <c r="E73" s="142" t="str">
        <f>IF('Regional data'!G13&gt;0,'Regional data'!G13*Prod_CR*Size_dist_MQ_CR/(NB_MQ_CR*'Regional data'!D13),"-")</f>
        <v>-</v>
      </c>
      <c r="F73" s="142" t="str">
        <f>IF('Regional data'!H13&gt;0,'Regional data'!H13*Prod_CR*Size_dist_SQ_CR/(NB_SQ_CR*'Regional data'!E13),"-")</f>
        <v>-</v>
      </c>
      <c r="G73" s="195" t="str">
        <f t="shared" si="0"/>
        <v>-</v>
      </c>
      <c r="H73" s="196" t="str">
        <f t="shared" si="1"/>
        <v>-</v>
      </c>
      <c r="I73" s="198" t="str">
        <f t="shared" si="2"/>
        <v>-</v>
      </c>
      <c r="J73" s="191" t="str">
        <f t="shared" si="3"/>
        <v>-</v>
      </c>
      <c r="K73" s="142" t="str">
        <f t="shared" si="4"/>
        <v>-</v>
      </c>
      <c r="L73" s="192" t="str">
        <f t="shared" si="5"/>
        <v>-</v>
      </c>
      <c r="M73" s="142" t="str">
        <f>IF(J73="-","-",J73*NB_LQ_CR*'Regional data'!C13)</f>
        <v>-</v>
      </c>
      <c r="N73" s="142" t="str">
        <f>IF(K73="-","-",K73*NB_MQ_CR*'Regional data'!D13)</f>
        <v>-</v>
      </c>
      <c r="O73" s="142" t="str">
        <f>IF(L73="-","-",L73*NB_SQ_CR*'Regional data'!E13)</f>
        <v>-</v>
      </c>
      <c r="P73" s="141" t="str">
        <f>IF('Regional data'!L13&gt;0,'Regional data'!L13*Prod_CR*Size_dist_LQ_SG/(NB_LQ_SG*'Regional data'!I13),"-")</f>
        <v>-</v>
      </c>
      <c r="Q73" s="142" t="str">
        <f>IF('Regional data'!M13&gt;0,'Regional data'!M13*Prod_SG*Size_dist_MQ_SG/(NB_MQ_SG*'Regional data'!J13),"-")</f>
        <v>-</v>
      </c>
      <c r="R73" s="142" t="str">
        <f>IF('Regional data'!N13&gt;0,'Regional data'!N13*Prod_SG*Size_dist_SQ_SG/(NB_SQ_SG*'Regional data'!K13),"-")</f>
        <v>-</v>
      </c>
      <c r="S73" s="195" t="str">
        <f t="shared" si="6"/>
        <v>-</v>
      </c>
      <c r="T73" s="196" t="str">
        <f t="shared" si="7"/>
        <v>-</v>
      </c>
      <c r="U73" s="198" t="str">
        <f t="shared" si="8"/>
        <v>-</v>
      </c>
      <c r="V73" s="191" t="str">
        <f t="shared" si="9"/>
        <v>-</v>
      </c>
      <c r="W73" s="142" t="str">
        <f t="shared" si="10"/>
        <v>-</v>
      </c>
      <c r="X73" s="192" t="str">
        <f t="shared" si="11"/>
        <v>-</v>
      </c>
      <c r="Y73" s="191" t="str">
        <f>IF(V73="-","-",V73*NB_LQ_SG*'Regional data'!I13)</f>
        <v>-</v>
      </c>
      <c r="Z73" s="142" t="str">
        <f>IF(W73="-","-",W73*NB_MQ_SG*'Regional data'!J13)</f>
        <v>-</v>
      </c>
      <c r="AA73" s="192" t="str">
        <f>IF(X73="-","-",X73*NB_SQ_SG*'Regional data'!K13)</f>
        <v>-</v>
      </c>
      <c r="AB73" s="141" t="str">
        <f>IF('Regional data'!R13&gt;0,'Regional data'!R13*Prod_RA*Size_dist_LQ_RA/(NB_LQ_RA*'Regional data'!O13),"-")</f>
        <v>-</v>
      </c>
      <c r="AC73" s="142" t="str">
        <f>IF('Regional data'!S13&gt;0,'Regional data'!S13*Prod_RA*Size_dist_MQ_RA/(NB_MQ_RA*'Regional data'!P13),"-")</f>
        <v>-</v>
      </c>
      <c r="AD73" s="142" t="str">
        <f>IF('Regional data'!T13&gt;0,'Regional data'!T13*Prod_RA*Size_dist_SQ_RA/(NB_SQ_RA*'Regional data'!Q13),"-")</f>
        <v>-</v>
      </c>
      <c r="AE73" s="195" t="str">
        <f t="shared" si="12"/>
        <v>-</v>
      </c>
      <c r="AF73" s="196" t="str">
        <f t="shared" si="13"/>
        <v>-</v>
      </c>
      <c r="AG73" s="198" t="str">
        <f t="shared" si="14"/>
        <v>-</v>
      </c>
      <c r="AH73" s="191" t="str">
        <f t="shared" si="15"/>
        <v>-</v>
      </c>
      <c r="AI73" s="142" t="str">
        <f t="shared" si="16"/>
        <v>-</v>
      </c>
      <c r="AJ73" s="192" t="str">
        <f t="shared" si="17"/>
        <v>-</v>
      </c>
      <c r="AK73" s="82" t="str">
        <f>IF(AH73="-","-",AH73*NB_LQ_RA*'Regional data'!O13)</f>
        <v>-</v>
      </c>
      <c r="AL73" s="142" t="str">
        <f>IF(AI73="-","-",AI73*NB_MQ_RA*'Regional data'!P13)</f>
        <v>-</v>
      </c>
      <c r="AM73" s="134" t="str">
        <f>IF(AJ73="-","-",AJ73*NB_SQ_RA*'Regional data'!Q13)</f>
        <v>-</v>
      </c>
    </row>
    <row r="74" spans="2:39" x14ac:dyDescent="0.25">
      <c r="B74" s="80">
        <f>'Regional data'!B14</f>
        <v>0</v>
      </c>
      <c r="C74" s="85">
        <f>Coeff_wind_Erosion_CR*(365*(365-'Regional data'!V14)/235)*('Regional data'!W14/365*100/15)*1000</f>
        <v>0</v>
      </c>
      <c r="D74" s="142" t="str">
        <f>IF('Regional data'!F14&gt;0,'Regional data'!F14*Prod_CR*Size_dist_LQ_CR/(NB_LQ_CR*'Regional data'!C14),"-")</f>
        <v>-</v>
      </c>
      <c r="E74" s="142" t="str">
        <f>IF('Regional data'!G14&gt;0,'Regional data'!G14*Prod_CR*Size_dist_MQ_CR/(NB_MQ_CR*'Regional data'!D14),"-")</f>
        <v>-</v>
      </c>
      <c r="F74" s="142" t="str">
        <f>IF('Regional data'!H14&gt;0,'Regional data'!H14*Prod_CR*Size_dist_SQ_CR/(NB_SQ_CR*'Regional data'!E14),"-")</f>
        <v>-</v>
      </c>
      <c r="G74" s="195" t="str">
        <f t="shared" si="0"/>
        <v>-</v>
      </c>
      <c r="H74" s="196" t="str">
        <f t="shared" si="1"/>
        <v>-</v>
      </c>
      <c r="I74" s="198" t="str">
        <f t="shared" si="2"/>
        <v>-</v>
      </c>
      <c r="J74" s="191" t="str">
        <f t="shared" si="3"/>
        <v>-</v>
      </c>
      <c r="K74" s="142" t="str">
        <f t="shared" si="4"/>
        <v>-</v>
      </c>
      <c r="L74" s="192" t="str">
        <f t="shared" si="5"/>
        <v>-</v>
      </c>
      <c r="M74" s="142" t="str">
        <f>IF(J74="-","-",J74*NB_LQ_CR*'Regional data'!C14)</f>
        <v>-</v>
      </c>
      <c r="N74" s="142" t="str">
        <f>IF(K74="-","-",K74*NB_MQ_CR*'Regional data'!D14)</f>
        <v>-</v>
      </c>
      <c r="O74" s="142" t="str">
        <f>IF(L74="-","-",L74*NB_SQ_CR*'Regional data'!E14)</f>
        <v>-</v>
      </c>
      <c r="P74" s="141" t="str">
        <f>IF('Regional data'!L14&gt;0,'Regional data'!L14*Prod_CR*Size_dist_LQ_SG/(NB_LQ_SG*'Regional data'!I14),"-")</f>
        <v>-</v>
      </c>
      <c r="Q74" s="142" t="str">
        <f>IF('Regional data'!M14&gt;0,'Regional data'!M14*Prod_SG*Size_dist_MQ_SG/(NB_MQ_SG*'Regional data'!J14),"-")</f>
        <v>-</v>
      </c>
      <c r="R74" s="142" t="str">
        <f>IF('Regional data'!N14&gt;0,'Regional data'!N14*Prod_SG*Size_dist_SQ_SG/(NB_SQ_SG*'Regional data'!K14),"-")</f>
        <v>-</v>
      </c>
      <c r="S74" s="195" t="str">
        <f t="shared" si="6"/>
        <v>-</v>
      </c>
      <c r="T74" s="196" t="str">
        <f t="shared" si="7"/>
        <v>-</v>
      </c>
      <c r="U74" s="198" t="str">
        <f t="shared" si="8"/>
        <v>-</v>
      </c>
      <c r="V74" s="191" t="str">
        <f t="shared" si="9"/>
        <v>-</v>
      </c>
      <c r="W74" s="142" t="str">
        <f t="shared" si="10"/>
        <v>-</v>
      </c>
      <c r="X74" s="192" t="str">
        <f t="shared" si="11"/>
        <v>-</v>
      </c>
      <c r="Y74" s="191" t="str">
        <f>IF(V74="-","-",V74*NB_LQ_SG*'Regional data'!I14)</f>
        <v>-</v>
      </c>
      <c r="Z74" s="142" t="str">
        <f>IF(W74="-","-",W74*NB_MQ_SG*'Regional data'!J14)</f>
        <v>-</v>
      </c>
      <c r="AA74" s="192" t="str">
        <f>IF(X74="-","-",X74*NB_SQ_SG*'Regional data'!K14)</f>
        <v>-</v>
      </c>
      <c r="AB74" s="141" t="str">
        <f>IF('Regional data'!R14&gt;0,'Regional data'!R14*Prod_RA*Size_dist_LQ_RA/(NB_LQ_RA*'Regional data'!O14),"-")</f>
        <v>-</v>
      </c>
      <c r="AC74" s="142" t="str">
        <f>IF('Regional data'!S14&gt;0,'Regional data'!S14*Prod_RA*Size_dist_MQ_RA/(NB_MQ_RA*'Regional data'!P14),"-")</f>
        <v>-</v>
      </c>
      <c r="AD74" s="142" t="str">
        <f>IF('Regional data'!T14&gt;0,'Regional data'!T14*Prod_RA*Size_dist_SQ_RA/(NB_SQ_RA*'Regional data'!Q14),"-")</f>
        <v>-</v>
      </c>
      <c r="AE74" s="195" t="str">
        <f t="shared" si="12"/>
        <v>-</v>
      </c>
      <c r="AF74" s="196" t="str">
        <f t="shared" si="13"/>
        <v>-</v>
      </c>
      <c r="AG74" s="198" t="str">
        <f t="shared" si="14"/>
        <v>-</v>
      </c>
      <c r="AH74" s="191" t="str">
        <f t="shared" si="15"/>
        <v>-</v>
      </c>
      <c r="AI74" s="142" t="str">
        <f t="shared" si="16"/>
        <v>-</v>
      </c>
      <c r="AJ74" s="192" t="str">
        <f t="shared" si="17"/>
        <v>-</v>
      </c>
      <c r="AK74" s="82" t="str">
        <f>IF(AH74="-","-",AH74*NB_LQ_RA*'Regional data'!O14)</f>
        <v>-</v>
      </c>
      <c r="AL74" s="142" t="str">
        <f>IF(AI74="-","-",AI74*NB_MQ_RA*'Regional data'!P14)</f>
        <v>-</v>
      </c>
      <c r="AM74" s="134" t="str">
        <f>IF(AJ74="-","-",AJ74*NB_SQ_RA*'Regional data'!Q14)</f>
        <v>-</v>
      </c>
    </row>
    <row r="75" spans="2:39" x14ac:dyDescent="0.25">
      <c r="B75" s="80">
        <f>'Regional data'!B15</f>
        <v>0</v>
      </c>
      <c r="C75" s="85">
        <f>Coeff_wind_Erosion_CR*(365*(365-'Regional data'!V15)/235)*('Regional data'!W15/365*100/15)*1000</f>
        <v>0</v>
      </c>
      <c r="D75" s="142" t="str">
        <f>IF('Regional data'!F15&gt;0,'Regional data'!F15*Prod_CR*Size_dist_LQ_CR/(NB_LQ_CR*'Regional data'!C15),"-")</f>
        <v>-</v>
      </c>
      <c r="E75" s="142" t="str">
        <f>IF('Regional data'!G15&gt;0,'Regional data'!G15*Prod_CR*Size_dist_MQ_CR/(NB_MQ_CR*'Regional data'!D15),"-")</f>
        <v>-</v>
      </c>
      <c r="F75" s="142" t="str">
        <f>IF('Regional data'!H15&gt;0,'Regional data'!H15*Prod_CR*Size_dist_SQ_CR/(NB_SQ_CR*'Regional data'!E15),"-")</f>
        <v>-</v>
      </c>
      <c r="G75" s="195" t="str">
        <f t="shared" si="0"/>
        <v>-</v>
      </c>
      <c r="H75" s="196" t="str">
        <f t="shared" si="1"/>
        <v>-</v>
      </c>
      <c r="I75" s="198" t="str">
        <f t="shared" si="2"/>
        <v>-</v>
      </c>
      <c r="J75" s="191" t="str">
        <f t="shared" si="3"/>
        <v>-</v>
      </c>
      <c r="K75" s="142" t="str">
        <f t="shared" si="4"/>
        <v>-</v>
      </c>
      <c r="L75" s="192" t="str">
        <f t="shared" si="5"/>
        <v>-</v>
      </c>
      <c r="M75" s="142" t="str">
        <f>IF(J75="-","-",J75*NB_LQ_CR*'Regional data'!C15)</f>
        <v>-</v>
      </c>
      <c r="N75" s="142" t="str">
        <f>IF(K75="-","-",K75*NB_MQ_CR*'Regional data'!D15)</f>
        <v>-</v>
      </c>
      <c r="O75" s="142" t="str">
        <f>IF(L75="-","-",L75*NB_SQ_CR*'Regional data'!E15)</f>
        <v>-</v>
      </c>
      <c r="P75" s="141" t="str">
        <f>IF('Regional data'!L15&gt;0,'Regional data'!L15*Prod_CR*Size_dist_LQ_SG/(NB_LQ_SG*'Regional data'!I15),"-")</f>
        <v>-</v>
      </c>
      <c r="Q75" s="142" t="str">
        <f>IF('Regional data'!M15&gt;0,'Regional data'!M15*Prod_SG*Size_dist_MQ_SG/(NB_MQ_SG*'Regional data'!J15),"-")</f>
        <v>-</v>
      </c>
      <c r="R75" s="142" t="str">
        <f>IF('Regional data'!N15&gt;0,'Regional data'!N15*Prod_SG*Size_dist_SQ_SG/(NB_SQ_SG*'Regional data'!K15),"-")</f>
        <v>-</v>
      </c>
      <c r="S75" s="195" t="str">
        <f t="shared" si="6"/>
        <v>-</v>
      </c>
      <c r="T75" s="196" t="str">
        <f t="shared" si="7"/>
        <v>-</v>
      </c>
      <c r="U75" s="198" t="str">
        <f t="shared" si="8"/>
        <v>-</v>
      </c>
      <c r="V75" s="191" t="str">
        <f t="shared" si="9"/>
        <v>-</v>
      </c>
      <c r="W75" s="142" t="str">
        <f t="shared" si="10"/>
        <v>-</v>
      </c>
      <c r="X75" s="192" t="str">
        <f t="shared" si="11"/>
        <v>-</v>
      </c>
      <c r="Y75" s="191" t="str">
        <f>IF(V75="-","-",V75*NB_LQ_SG*'Regional data'!I15)</f>
        <v>-</v>
      </c>
      <c r="Z75" s="142" t="str">
        <f>IF(W75="-","-",W75*NB_MQ_SG*'Regional data'!J15)</f>
        <v>-</v>
      </c>
      <c r="AA75" s="192" t="str">
        <f>IF(X75="-","-",X75*NB_SQ_SG*'Regional data'!K15)</f>
        <v>-</v>
      </c>
      <c r="AB75" s="141" t="str">
        <f>IF('Regional data'!R15&gt;0,'Regional data'!R15*Prod_RA*Size_dist_LQ_RA/(NB_LQ_RA*'Regional data'!O15),"-")</f>
        <v>-</v>
      </c>
      <c r="AC75" s="142" t="str">
        <f>IF('Regional data'!S15&gt;0,'Regional data'!S15*Prod_RA*Size_dist_MQ_RA/(NB_MQ_RA*'Regional data'!P15),"-")</f>
        <v>-</v>
      </c>
      <c r="AD75" s="142" t="str">
        <f>IF('Regional data'!T15&gt;0,'Regional data'!T15*Prod_RA*Size_dist_SQ_RA/(NB_SQ_RA*'Regional data'!Q15),"-")</f>
        <v>-</v>
      </c>
      <c r="AE75" s="195" t="str">
        <f t="shared" si="12"/>
        <v>-</v>
      </c>
      <c r="AF75" s="196" t="str">
        <f t="shared" si="13"/>
        <v>-</v>
      </c>
      <c r="AG75" s="198" t="str">
        <f t="shared" si="14"/>
        <v>-</v>
      </c>
      <c r="AH75" s="191" t="str">
        <f t="shared" si="15"/>
        <v>-</v>
      </c>
      <c r="AI75" s="142" t="str">
        <f t="shared" si="16"/>
        <v>-</v>
      </c>
      <c r="AJ75" s="192" t="str">
        <f t="shared" si="17"/>
        <v>-</v>
      </c>
      <c r="AK75" s="82" t="str">
        <f>IF(AH75="-","-",AH75*NB_LQ_RA*'Regional data'!O15)</f>
        <v>-</v>
      </c>
      <c r="AL75" s="142" t="str">
        <f>IF(AI75="-","-",AI75*NB_MQ_RA*'Regional data'!P15)</f>
        <v>-</v>
      </c>
      <c r="AM75" s="134" t="str">
        <f>IF(AJ75="-","-",AJ75*NB_SQ_RA*'Regional data'!Q15)</f>
        <v>-</v>
      </c>
    </row>
    <row r="76" spans="2:39" x14ac:dyDescent="0.25">
      <c r="B76" s="80">
        <f>'Regional data'!B16</f>
        <v>0</v>
      </c>
      <c r="C76" s="85">
        <f>Coeff_wind_Erosion_CR*(365*(365-'Regional data'!V16)/235)*('Regional data'!W16/365*100/15)*1000</f>
        <v>0</v>
      </c>
      <c r="D76" s="142" t="str">
        <f>IF('Regional data'!F16&gt;0,'Regional data'!F16*Prod_CR*Size_dist_LQ_CR/(NB_LQ_CR*'Regional data'!C16),"-")</f>
        <v>-</v>
      </c>
      <c r="E76" s="142" t="str">
        <f>IF('Regional data'!G16&gt;0,'Regional data'!G16*Prod_CR*Size_dist_MQ_CR/(NB_MQ_CR*'Regional data'!D16),"-")</f>
        <v>-</v>
      </c>
      <c r="F76" s="142" t="str">
        <f>IF('Regional data'!H16&gt;0,'Regional data'!H16*Prod_CR*Size_dist_SQ_CR/(NB_SQ_CR*'Regional data'!E16),"-")</f>
        <v>-</v>
      </c>
      <c r="G76" s="195" t="str">
        <f t="shared" si="0"/>
        <v>-</v>
      </c>
      <c r="H76" s="196" t="str">
        <f t="shared" si="1"/>
        <v>-</v>
      </c>
      <c r="I76" s="198" t="str">
        <f t="shared" si="2"/>
        <v>-</v>
      </c>
      <c r="J76" s="191" t="str">
        <f t="shared" si="3"/>
        <v>-</v>
      </c>
      <c r="K76" s="142" t="str">
        <f t="shared" si="4"/>
        <v>-</v>
      </c>
      <c r="L76" s="192" t="str">
        <f t="shared" si="5"/>
        <v>-</v>
      </c>
      <c r="M76" s="142" t="str">
        <f>IF(J76="-","-",J76*NB_LQ_CR*'Regional data'!C16)</f>
        <v>-</v>
      </c>
      <c r="N76" s="142" t="str">
        <f>IF(K76="-","-",K76*NB_MQ_CR*'Regional data'!D16)</f>
        <v>-</v>
      </c>
      <c r="O76" s="142" t="str">
        <f>IF(L76="-","-",L76*NB_SQ_CR*'Regional data'!E16)</f>
        <v>-</v>
      </c>
      <c r="P76" s="141" t="str">
        <f>IF('Regional data'!L16&gt;0,'Regional data'!L16*Prod_CR*Size_dist_LQ_SG/(NB_LQ_SG*'Regional data'!I16),"-")</f>
        <v>-</v>
      </c>
      <c r="Q76" s="142" t="str">
        <f>IF('Regional data'!M16&gt;0,'Regional data'!M16*Prod_SG*Size_dist_MQ_SG/(NB_MQ_SG*'Regional data'!J16),"-")</f>
        <v>-</v>
      </c>
      <c r="R76" s="142" t="str">
        <f>IF('Regional data'!N16&gt;0,'Regional data'!N16*Prod_SG*Size_dist_SQ_SG/(NB_SQ_SG*'Regional data'!K16),"-")</f>
        <v>-</v>
      </c>
      <c r="S76" s="195" t="str">
        <f t="shared" si="6"/>
        <v>-</v>
      </c>
      <c r="T76" s="196" t="str">
        <f t="shared" si="7"/>
        <v>-</v>
      </c>
      <c r="U76" s="198" t="str">
        <f t="shared" si="8"/>
        <v>-</v>
      </c>
      <c r="V76" s="191" t="str">
        <f t="shared" si="9"/>
        <v>-</v>
      </c>
      <c r="W76" s="142" t="str">
        <f t="shared" si="10"/>
        <v>-</v>
      </c>
      <c r="X76" s="192" t="str">
        <f t="shared" si="11"/>
        <v>-</v>
      </c>
      <c r="Y76" s="191" t="str">
        <f>IF(V76="-","-",V76*NB_LQ_SG*'Regional data'!I16)</f>
        <v>-</v>
      </c>
      <c r="Z76" s="142" t="str">
        <f>IF(W76="-","-",W76*NB_MQ_SG*'Regional data'!J16)</f>
        <v>-</v>
      </c>
      <c r="AA76" s="192" t="str">
        <f>IF(X76="-","-",X76*NB_SQ_SG*'Regional data'!K16)</f>
        <v>-</v>
      </c>
      <c r="AB76" s="141" t="str">
        <f>IF('Regional data'!R16&gt;0,'Regional data'!R16*Prod_RA*Size_dist_LQ_RA/(NB_LQ_RA*'Regional data'!O16),"-")</f>
        <v>-</v>
      </c>
      <c r="AC76" s="142" t="str">
        <f>IF('Regional data'!S16&gt;0,'Regional data'!S16*Prod_RA*Size_dist_MQ_RA/(NB_MQ_RA*'Regional data'!P16),"-")</f>
        <v>-</v>
      </c>
      <c r="AD76" s="142" t="str">
        <f>IF('Regional data'!T16&gt;0,'Regional data'!T16*Prod_RA*Size_dist_SQ_RA/(NB_SQ_RA*'Regional data'!Q16),"-")</f>
        <v>-</v>
      </c>
      <c r="AE76" s="195" t="str">
        <f t="shared" si="12"/>
        <v>-</v>
      </c>
      <c r="AF76" s="196" t="str">
        <f t="shared" si="13"/>
        <v>-</v>
      </c>
      <c r="AG76" s="198" t="str">
        <f t="shared" si="14"/>
        <v>-</v>
      </c>
      <c r="AH76" s="191" t="str">
        <f t="shared" si="15"/>
        <v>-</v>
      </c>
      <c r="AI76" s="142" t="str">
        <f t="shared" si="16"/>
        <v>-</v>
      </c>
      <c r="AJ76" s="192" t="str">
        <f t="shared" si="17"/>
        <v>-</v>
      </c>
      <c r="AK76" s="82" t="str">
        <f>IF(AH76="-","-",AH76*NB_LQ_RA*'Regional data'!O16)</f>
        <v>-</v>
      </c>
      <c r="AL76" s="142" t="str">
        <f>IF(AI76="-","-",AI76*NB_MQ_RA*'Regional data'!P16)</f>
        <v>-</v>
      </c>
      <c r="AM76" s="134" t="str">
        <f>IF(AJ76="-","-",AJ76*NB_SQ_RA*'Regional data'!Q16)</f>
        <v>-</v>
      </c>
    </row>
    <row r="77" spans="2:39" x14ac:dyDescent="0.25">
      <c r="B77" s="80">
        <f>'Regional data'!B17</f>
        <v>0</v>
      </c>
      <c r="C77" s="85">
        <f>Coeff_wind_Erosion_CR*(365*(365-'Regional data'!V17)/235)*('Regional data'!W17/365*100/15)*1000</f>
        <v>0</v>
      </c>
      <c r="D77" s="142" t="str">
        <f>IF('Regional data'!F17&gt;0,'Regional data'!F17*Prod_CR*Size_dist_LQ_CR/(NB_LQ_CR*'Regional data'!C17),"-")</f>
        <v>-</v>
      </c>
      <c r="E77" s="142" t="str">
        <f>IF('Regional data'!G17&gt;0,'Regional data'!G17*Prod_CR*Size_dist_MQ_CR/(NB_MQ_CR*'Regional data'!D17),"-")</f>
        <v>-</v>
      </c>
      <c r="F77" s="142" t="str">
        <f>IF('Regional data'!H17&gt;0,'Regional data'!H17*Prod_CR*Size_dist_SQ_CR/(NB_SQ_CR*'Regional data'!E17),"-")</f>
        <v>-</v>
      </c>
      <c r="G77" s="195" t="str">
        <f t="shared" si="0"/>
        <v>-</v>
      </c>
      <c r="H77" s="196" t="str">
        <f t="shared" si="1"/>
        <v>-</v>
      </c>
      <c r="I77" s="198" t="str">
        <f t="shared" si="2"/>
        <v>-</v>
      </c>
      <c r="J77" s="191" t="str">
        <f t="shared" si="3"/>
        <v>-</v>
      </c>
      <c r="K77" s="142" t="str">
        <f t="shared" si="4"/>
        <v>-</v>
      </c>
      <c r="L77" s="192" t="str">
        <f t="shared" si="5"/>
        <v>-</v>
      </c>
      <c r="M77" s="142" t="str">
        <f>IF(J77="-","-",J77*NB_LQ_CR*'Regional data'!C17)</f>
        <v>-</v>
      </c>
      <c r="N77" s="142" t="str">
        <f>IF(K77="-","-",K77*NB_MQ_CR*'Regional data'!D17)</f>
        <v>-</v>
      </c>
      <c r="O77" s="142" t="str">
        <f>IF(L77="-","-",L77*NB_SQ_CR*'Regional data'!E17)</f>
        <v>-</v>
      </c>
      <c r="P77" s="141" t="str">
        <f>IF('Regional data'!L17&gt;0,'Regional data'!L17*Prod_CR*Size_dist_LQ_SG/(NB_LQ_SG*'Regional data'!I17),"-")</f>
        <v>-</v>
      </c>
      <c r="Q77" s="142" t="str">
        <f>IF('Regional data'!M17&gt;0,'Regional data'!M17*Prod_SG*Size_dist_MQ_SG/(NB_MQ_SG*'Regional data'!J17),"-")</f>
        <v>-</v>
      </c>
      <c r="R77" s="142" t="str">
        <f>IF('Regional data'!N17&gt;0,'Regional data'!N17*Prod_SG*Size_dist_SQ_SG/(NB_SQ_SG*'Regional data'!K17),"-")</f>
        <v>-</v>
      </c>
      <c r="S77" s="195" t="str">
        <f t="shared" si="6"/>
        <v>-</v>
      </c>
      <c r="T77" s="196" t="str">
        <f t="shared" si="7"/>
        <v>-</v>
      </c>
      <c r="U77" s="198" t="str">
        <f t="shared" si="8"/>
        <v>-</v>
      </c>
      <c r="V77" s="191" t="str">
        <f t="shared" si="9"/>
        <v>-</v>
      </c>
      <c r="W77" s="142" t="str">
        <f t="shared" si="10"/>
        <v>-</v>
      </c>
      <c r="X77" s="192" t="str">
        <f t="shared" si="11"/>
        <v>-</v>
      </c>
      <c r="Y77" s="191" t="str">
        <f>IF(V77="-","-",V77*NB_LQ_SG*'Regional data'!I17)</f>
        <v>-</v>
      </c>
      <c r="Z77" s="142" t="str">
        <f>IF(W77="-","-",W77*NB_MQ_SG*'Regional data'!J17)</f>
        <v>-</v>
      </c>
      <c r="AA77" s="192" t="str">
        <f>IF(X77="-","-",X77*NB_SQ_SG*'Regional data'!K17)</f>
        <v>-</v>
      </c>
      <c r="AB77" s="141" t="str">
        <f>IF('Regional data'!R17&gt;0,'Regional data'!R17*Prod_RA*Size_dist_LQ_RA/(NB_LQ_RA*'Regional data'!O17),"-")</f>
        <v>-</v>
      </c>
      <c r="AC77" s="142" t="str">
        <f>IF('Regional data'!S17&gt;0,'Regional data'!S17*Prod_RA*Size_dist_MQ_RA/(NB_MQ_RA*'Regional data'!P17),"-")</f>
        <v>-</v>
      </c>
      <c r="AD77" s="142" t="str">
        <f>IF('Regional data'!T17&gt;0,'Regional data'!T17*Prod_RA*Size_dist_SQ_RA/(NB_SQ_RA*'Regional data'!Q17),"-")</f>
        <v>-</v>
      </c>
      <c r="AE77" s="195" t="str">
        <f t="shared" si="12"/>
        <v>-</v>
      </c>
      <c r="AF77" s="196" t="str">
        <f t="shared" si="13"/>
        <v>-</v>
      </c>
      <c r="AG77" s="198" t="str">
        <f t="shared" si="14"/>
        <v>-</v>
      </c>
      <c r="AH77" s="191" t="str">
        <f t="shared" si="15"/>
        <v>-</v>
      </c>
      <c r="AI77" s="142" t="str">
        <f t="shared" si="16"/>
        <v>-</v>
      </c>
      <c r="AJ77" s="192" t="str">
        <f t="shared" si="17"/>
        <v>-</v>
      </c>
      <c r="AK77" s="82" t="str">
        <f>IF(AH77="-","-",AH77*NB_LQ_RA*'Regional data'!O17)</f>
        <v>-</v>
      </c>
      <c r="AL77" s="142" t="str">
        <f>IF(AI77="-","-",AI77*NB_MQ_RA*'Regional data'!P17)</f>
        <v>-</v>
      </c>
      <c r="AM77" s="134" t="str">
        <f>IF(AJ77="-","-",AJ77*NB_SQ_RA*'Regional data'!Q17)</f>
        <v>-</v>
      </c>
    </row>
    <row r="78" spans="2:39" x14ac:dyDescent="0.25">
      <c r="B78" s="80">
        <f>'Regional data'!B18</f>
        <v>0</v>
      </c>
      <c r="C78" s="85">
        <f>Coeff_wind_Erosion_CR*(365*(365-'Regional data'!V18)/235)*('Regional data'!W18/365*100/15)*1000</f>
        <v>0</v>
      </c>
      <c r="D78" s="142" t="str">
        <f>IF('Regional data'!F18&gt;0,'Regional data'!F18*Prod_CR*Size_dist_LQ_CR/(NB_LQ_CR*'Regional data'!C18),"-")</f>
        <v>-</v>
      </c>
      <c r="E78" s="142" t="str">
        <f>IF('Regional data'!G18&gt;0,'Regional data'!G18*Prod_CR*Size_dist_MQ_CR/(NB_MQ_CR*'Regional data'!D18),"-")</f>
        <v>-</v>
      </c>
      <c r="F78" s="142" t="str">
        <f>IF('Regional data'!H18&gt;0,'Regional data'!H18*Prod_CR*Size_dist_SQ_CR/(NB_SQ_CR*'Regional data'!E18),"-")</f>
        <v>-</v>
      </c>
      <c r="G78" s="195" t="str">
        <f t="shared" si="0"/>
        <v>-</v>
      </c>
      <c r="H78" s="196" t="str">
        <f t="shared" si="1"/>
        <v>-</v>
      </c>
      <c r="I78" s="198" t="str">
        <f t="shared" si="2"/>
        <v>-</v>
      </c>
      <c r="J78" s="191" t="str">
        <f t="shared" si="3"/>
        <v>-</v>
      </c>
      <c r="K78" s="142" t="str">
        <f t="shared" si="4"/>
        <v>-</v>
      </c>
      <c r="L78" s="192" t="str">
        <f t="shared" si="5"/>
        <v>-</v>
      </c>
      <c r="M78" s="142" t="str">
        <f>IF(J78="-","-",J78*NB_LQ_CR*'Regional data'!C18)</f>
        <v>-</v>
      </c>
      <c r="N78" s="142" t="str">
        <f>IF(K78="-","-",K78*NB_MQ_CR*'Regional data'!D18)</f>
        <v>-</v>
      </c>
      <c r="O78" s="142" t="str">
        <f>IF(L78="-","-",L78*NB_SQ_CR*'Regional data'!E18)</f>
        <v>-</v>
      </c>
      <c r="P78" s="141" t="str">
        <f>IF('Regional data'!L18&gt;0,'Regional data'!L18*Prod_CR*Size_dist_LQ_SG/(NB_LQ_SG*'Regional data'!I18),"-")</f>
        <v>-</v>
      </c>
      <c r="Q78" s="142" t="str">
        <f>IF('Regional data'!M18&gt;0,'Regional data'!M18*Prod_SG*Size_dist_MQ_SG/(NB_MQ_SG*'Regional data'!J18),"-")</f>
        <v>-</v>
      </c>
      <c r="R78" s="142" t="str">
        <f>IF('Regional data'!N18&gt;0,'Regional data'!N18*Prod_SG*Size_dist_SQ_SG/(NB_SQ_SG*'Regional data'!K18),"-")</f>
        <v>-</v>
      </c>
      <c r="S78" s="195" t="str">
        <f t="shared" si="6"/>
        <v>-</v>
      </c>
      <c r="T78" s="196" t="str">
        <f t="shared" si="7"/>
        <v>-</v>
      </c>
      <c r="U78" s="198" t="str">
        <f t="shared" si="8"/>
        <v>-</v>
      </c>
      <c r="V78" s="191" t="str">
        <f t="shared" si="9"/>
        <v>-</v>
      </c>
      <c r="W78" s="142" t="str">
        <f t="shared" si="10"/>
        <v>-</v>
      </c>
      <c r="X78" s="192" t="str">
        <f t="shared" si="11"/>
        <v>-</v>
      </c>
      <c r="Y78" s="191" t="str">
        <f>IF(V78="-","-",V78*NB_LQ_SG*'Regional data'!I18)</f>
        <v>-</v>
      </c>
      <c r="Z78" s="142" t="str">
        <f>IF(W78="-","-",W78*NB_MQ_SG*'Regional data'!J18)</f>
        <v>-</v>
      </c>
      <c r="AA78" s="192" t="str">
        <f>IF(X78="-","-",X78*NB_SQ_SG*'Regional data'!K18)</f>
        <v>-</v>
      </c>
      <c r="AB78" s="141" t="str">
        <f>IF('Regional data'!R18&gt;0,'Regional data'!R18*Prod_RA*Size_dist_LQ_RA/(NB_LQ_RA*'Regional data'!O18),"-")</f>
        <v>-</v>
      </c>
      <c r="AC78" s="142" t="str">
        <f>IF('Regional data'!S18&gt;0,'Regional data'!S18*Prod_RA*Size_dist_MQ_RA/(NB_MQ_RA*'Regional data'!P18),"-")</f>
        <v>-</v>
      </c>
      <c r="AD78" s="142" t="str">
        <f>IF('Regional data'!T18&gt;0,'Regional data'!T18*Prod_RA*Size_dist_SQ_RA/(NB_SQ_RA*'Regional data'!Q18),"-")</f>
        <v>-</v>
      </c>
      <c r="AE78" s="195" t="str">
        <f t="shared" si="12"/>
        <v>-</v>
      </c>
      <c r="AF78" s="196" t="str">
        <f t="shared" si="13"/>
        <v>-</v>
      </c>
      <c r="AG78" s="198" t="str">
        <f t="shared" si="14"/>
        <v>-</v>
      </c>
      <c r="AH78" s="191" t="str">
        <f t="shared" si="15"/>
        <v>-</v>
      </c>
      <c r="AI78" s="142" t="str">
        <f t="shared" si="16"/>
        <v>-</v>
      </c>
      <c r="AJ78" s="192" t="str">
        <f t="shared" si="17"/>
        <v>-</v>
      </c>
      <c r="AK78" s="82" t="str">
        <f>IF(AH78="-","-",AH78*NB_LQ_RA*'Regional data'!O18)</f>
        <v>-</v>
      </c>
      <c r="AL78" s="142" t="str">
        <f>IF(AI78="-","-",AI78*NB_MQ_RA*'Regional data'!P18)</f>
        <v>-</v>
      </c>
      <c r="AM78" s="134" t="str">
        <f>IF(AJ78="-","-",AJ78*NB_SQ_RA*'Regional data'!Q18)</f>
        <v>-</v>
      </c>
    </row>
    <row r="79" spans="2:39" x14ac:dyDescent="0.25">
      <c r="B79" s="80">
        <f>'Regional data'!B19</f>
        <v>0</v>
      </c>
      <c r="C79" s="85">
        <f>Coeff_wind_Erosion_CR*(365*(365-'Regional data'!V19)/235)*('Regional data'!W19/365*100/15)*1000</f>
        <v>0</v>
      </c>
      <c r="D79" s="142" t="str">
        <f>IF('Regional data'!F19&gt;0,'Regional data'!F19*Prod_CR*Size_dist_LQ_CR/(NB_LQ_CR*'Regional data'!C19),"-")</f>
        <v>-</v>
      </c>
      <c r="E79" s="142" t="str">
        <f>IF('Regional data'!G19&gt;0,'Regional data'!G19*Prod_CR*Size_dist_MQ_CR/(NB_MQ_CR*'Regional data'!D19),"-")</f>
        <v>-</v>
      </c>
      <c r="F79" s="142" t="str">
        <f>IF('Regional data'!H19&gt;0,'Regional data'!H19*Prod_CR*Size_dist_SQ_CR/(NB_SQ_CR*'Regional data'!E19),"-")</f>
        <v>-</v>
      </c>
      <c r="G79" s="195" t="str">
        <f t="shared" si="0"/>
        <v>-</v>
      </c>
      <c r="H79" s="196" t="str">
        <f t="shared" si="1"/>
        <v>-</v>
      </c>
      <c r="I79" s="198" t="str">
        <f t="shared" si="2"/>
        <v>-</v>
      </c>
      <c r="J79" s="191" t="str">
        <f t="shared" si="3"/>
        <v>-</v>
      </c>
      <c r="K79" s="142" t="str">
        <f t="shared" si="4"/>
        <v>-</v>
      </c>
      <c r="L79" s="192" t="str">
        <f t="shared" si="5"/>
        <v>-</v>
      </c>
      <c r="M79" s="142" t="str">
        <f>IF(J79="-","-",J79*NB_LQ_CR*'Regional data'!C19)</f>
        <v>-</v>
      </c>
      <c r="N79" s="142" t="str">
        <f>IF(K79="-","-",K79*NB_MQ_CR*'Regional data'!D19)</f>
        <v>-</v>
      </c>
      <c r="O79" s="142" t="str">
        <f>IF(L79="-","-",L79*NB_SQ_CR*'Regional data'!E19)</f>
        <v>-</v>
      </c>
      <c r="P79" s="141" t="str">
        <f>IF('Regional data'!L19&gt;0,'Regional data'!L19*Prod_CR*Size_dist_LQ_SG/(NB_LQ_SG*'Regional data'!I19),"-")</f>
        <v>-</v>
      </c>
      <c r="Q79" s="142" t="str">
        <f>IF('Regional data'!M19&gt;0,'Regional data'!M19*Prod_SG*Size_dist_MQ_SG/(NB_MQ_SG*'Regional data'!J19),"-")</f>
        <v>-</v>
      </c>
      <c r="R79" s="142" t="str">
        <f>IF('Regional data'!N19&gt;0,'Regional data'!N19*Prod_SG*Size_dist_SQ_SG/(NB_SQ_SG*'Regional data'!K19),"-")</f>
        <v>-</v>
      </c>
      <c r="S79" s="195" t="str">
        <f t="shared" si="6"/>
        <v>-</v>
      </c>
      <c r="T79" s="196" t="str">
        <f t="shared" si="7"/>
        <v>-</v>
      </c>
      <c r="U79" s="198" t="str">
        <f t="shared" si="8"/>
        <v>-</v>
      </c>
      <c r="V79" s="191" t="str">
        <f t="shared" si="9"/>
        <v>-</v>
      </c>
      <c r="W79" s="142" t="str">
        <f t="shared" si="10"/>
        <v>-</v>
      </c>
      <c r="X79" s="192" t="str">
        <f t="shared" si="11"/>
        <v>-</v>
      </c>
      <c r="Y79" s="191" t="str">
        <f>IF(V79="-","-",V79*NB_LQ_SG*'Regional data'!I19)</f>
        <v>-</v>
      </c>
      <c r="Z79" s="142" t="str">
        <f>IF(W79="-","-",W79*NB_MQ_SG*'Regional data'!J19)</f>
        <v>-</v>
      </c>
      <c r="AA79" s="192" t="str">
        <f>IF(X79="-","-",X79*NB_SQ_SG*'Regional data'!K19)</f>
        <v>-</v>
      </c>
      <c r="AB79" s="141" t="str">
        <f>IF('Regional data'!R19&gt;0,'Regional data'!R19*Prod_RA*Size_dist_LQ_RA/(NB_LQ_RA*'Regional data'!O19),"-")</f>
        <v>-</v>
      </c>
      <c r="AC79" s="142" t="str">
        <f>IF('Regional data'!S19&gt;0,'Regional data'!S19*Prod_RA*Size_dist_MQ_RA/(NB_MQ_RA*'Regional data'!P19),"-")</f>
        <v>-</v>
      </c>
      <c r="AD79" s="142" t="str">
        <f>IF('Regional data'!T19&gt;0,'Regional data'!T19*Prod_RA*Size_dist_SQ_RA/(NB_SQ_RA*'Regional data'!Q19),"-")</f>
        <v>-</v>
      </c>
      <c r="AE79" s="195" t="str">
        <f t="shared" si="12"/>
        <v>-</v>
      </c>
      <c r="AF79" s="196" t="str">
        <f t="shared" si="13"/>
        <v>-</v>
      </c>
      <c r="AG79" s="198" t="str">
        <f t="shared" si="14"/>
        <v>-</v>
      </c>
      <c r="AH79" s="191" t="str">
        <f t="shared" si="15"/>
        <v>-</v>
      </c>
      <c r="AI79" s="142" t="str">
        <f t="shared" si="16"/>
        <v>-</v>
      </c>
      <c r="AJ79" s="192" t="str">
        <f t="shared" si="17"/>
        <v>-</v>
      </c>
      <c r="AK79" s="82" t="str">
        <f>IF(AH79="-","-",AH79*NB_LQ_RA*'Regional data'!O19)</f>
        <v>-</v>
      </c>
      <c r="AL79" s="142" t="str">
        <f>IF(AI79="-","-",AI79*NB_MQ_RA*'Regional data'!P19)</f>
        <v>-</v>
      </c>
      <c r="AM79" s="134" t="str">
        <f>IF(AJ79="-","-",AJ79*NB_SQ_RA*'Regional data'!Q19)</f>
        <v>-</v>
      </c>
    </row>
    <row r="80" spans="2:39" x14ac:dyDescent="0.25">
      <c r="B80" s="80">
        <f>'Regional data'!B20</f>
        <v>0</v>
      </c>
      <c r="C80" s="85">
        <f>Coeff_wind_Erosion_CR*(365*(365-'Regional data'!V20)/235)*('Regional data'!W20/365*100/15)*1000</f>
        <v>0</v>
      </c>
      <c r="D80" s="142" t="str">
        <f>IF('Regional data'!F20&gt;0,'Regional data'!F20*Prod_CR*Size_dist_LQ_CR/(NB_LQ_CR*'Regional data'!C20),"-")</f>
        <v>-</v>
      </c>
      <c r="E80" s="142" t="str">
        <f>IF('Regional data'!G20&gt;0,'Regional data'!G20*Prod_CR*Size_dist_MQ_CR/(NB_MQ_CR*'Regional data'!D20),"-")</f>
        <v>-</v>
      </c>
      <c r="F80" s="142" t="str">
        <f>IF('Regional data'!H20&gt;0,'Regional data'!H20*Prod_CR*Size_dist_SQ_CR/(NB_SQ_CR*'Regional data'!E20),"-")</f>
        <v>-</v>
      </c>
      <c r="G80" s="195" t="str">
        <f t="shared" si="0"/>
        <v>-</v>
      </c>
      <c r="H80" s="196" t="str">
        <f t="shared" si="1"/>
        <v>-</v>
      </c>
      <c r="I80" s="198" t="str">
        <f t="shared" si="2"/>
        <v>-</v>
      </c>
      <c r="J80" s="191" t="str">
        <f t="shared" si="3"/>
        <v>-</v>
      </c>
      <c r="K80" s="142" t="str">
        <f t="shared" si="4"/>
        <v>-</v>
      </c>
      <c r="L80" s="192" t="str">
        <f t="shared" si="5"/>
        <v>-</v>
      </c>
      <c r="M80" s="142" t="str">
        <f>IF(J80="-","-",J80*NB_LQ_CR*'Regional data'!C20)</f>
        <v>-</v>
      </c>
      <c r="N80" s="142" t="str">
        <f>IF(K80="-","-",K80*NB_MQ_CR*'Regional data'!D20)</f>
        <v>-</v>
      </c>
      <c r="O80" s="142" t="str">
        <f>IF(L80="-","-",L80*NB_SQ_CR*'Regional data'!E20)</f>
        <v>-</v>
      </c>
      <c r="P80" s="141" t="str">
        <f>IF('Regional data'!L20&gt;0,'Regional data'!L20*Prod_CR*Size_dist_LQ_SG/(NB_LQ_SG*'Regional data'!I20),"-")</f>
        <v>-</v>
      </c>
      <c r="Q80" s="142" t="str">
        <f>IF('Regional data'!M20&gt;0,'Regional data'!M20*Prod_SG*Size_dist_MQ_SG/(NB_MQ_SG*'Regional data'!J20),"-")</f>
        <v>-</v>
      </c>
      <c r="R80" s="142" t="str">
        <f>IF('Regional data'!N20&gt;0,'Regional data'!N20*Prod_SG*Size_dist_SQ_SG/(NB_SQ_SG*'Regional data'!K20),"-")</f>
        <v>-</v>
      </c>
      <c r="S80" s="195" t="str">
        <f t="shared" si="6"/>
        <v>-</v>
      </c>
      <c r="T80" s="196" t="str">
        <f t="shared" si="7"/>
        <v>-</v>
      </c>
      <c r="U80" s="198" t="str">
        <f t="shared" si="8"/>
        <v>-</v>
      </c>
      <c r="V80" s="191" t="str">
        <f t="shared" si="9"/>
        <v>-</v>
      </c>
      <c r="W80" s="142" t="str">
        <f t="shared" si="10"/>
        <v>-</v>
      </c>
      <c r="X80" s="192" t="str">
        <f t="shared" si="11"/>
        <v>-</v>
      </c>
      <c r="Y80" s="191" t="str">
        <f>IF(V80="-","-",V80*NB_LQ_SG*'Regional data'!I20)</f>
        <v>-</v>
      </c>
      <c r="Z80" s="142" t="str">
        <f>IF(W80="-","-",W80*NB_MQ_SG*'Regional data'!J20)</f>
        <v>-</v>
      </c>
      <c r="AA80" s="192" t="str">
        <f>IF(X80="-","-",X80*NB_SQ_SG*'Regional data'!K20)</f>
        <v>-</v>
      </c>
      <c r="AB80" s="141" t="str">
        <f>IF('Regional data'!R20&gt;0,'Regional data'!R20*Prod_RA*Size_dist_LQ_RA/(NB_LQ_RA*'Regional data'!O20),"-")</f>
        <v>-</v>
      </c>
      <c r="AC80" s="142" t="str">
        <f>IF('Regional data'!S20&gt;0,'Regional data'!S20*Prod_RA*Size_dist_MQ_RA/(NB_MQ_RA*'Regional data'!P20),"-")</f>
        <v>-</v>
      </c>
      <c r="AD80" s="142" t="str">
        <f>IF('Regional data'!T20&gt;0,'Regional data'!T20*Prod_RA*Size_dist_SQ_RA/(NB_SQ_RA*'Regional data'!Q20),"-")</f>
        <v>-</v>
      </c>
      <c r="AE80" s="195" t="str">
        <f t="shared" si="12"/>
        <v>-</v>
      </c>
      <c r="AF80" s="196" t="str">
        <f t="shared" si="13"/>
        <v>-</v>
      </c>
      <c r="AG80" s="198" t="str">
        <f t="shared" si="14"/>
        <v>-</v>
      </c>
      <c r="AH80" s="191" t="str">
        <f t="shared" si="15"/>
        <v>-</v>
      </c>
      <c r="AI80" s="142" t="str">
        <f t="shared" si="16"/>
        <v>-</v>
      </c>
      <c r="AJ80" s="192" t="str">
        <f t="shared" si="17"/>
        <v>-</v>
      </c>
      <c r="AK80" s="82" t="str">
        <f>IF(AH80="-","-",AH80*NB_LQ_RA*'Regional data'!O20)</f>
        <v>-</v>
      </c>
      <c r="AL80" s="142" t="str">
        <f>IF(AI80="-","-",AI80*NB_MQ_RA*'Regional data'!P20)</f>
        <v>-</v>
      </c>
      <c r="AM80" s="134" t="str">
        <f>IF(AJ80="-","-",AJ80*NB_SQ_RA*'Regional data'!Q20)</f>
        <v>-</v>
      </c>
    </row>
    <row r="81" spans="2:39" x14ac:dyDescent="0.25">
      <c r="B81" s="80">
        <f>'Regional data'!B21</f>
        <v>0</v>
      </c>
      <c r="C81" s="85">
        <f>Coeff_wind_Erosion_CR*(365*(365-'Regional data'!V21)/235)*('Regional data'!W21/365*100/15)*1000</f>
        <v>0</v>
      </c>
      <c r="D81" s="142" t="str">
        <f>IF('Regional data'!F21&gt;0,'Regional data'!F21*Prod_CR*Size_dist_LQ_CR/(NB_LQ_CR*'Regional data'!C21),"-")</f>
        <v>-</v>
      </c>
      <c r="E81" s="142" t="str">
        <f>IF('Regional data'!G21&gt;0,'Regional data'!G21*Prod_CR*Size_dist_MQ_CR/(NB_MQ_CR*'Regional data'!D21),"-")</f>
        <v>-</v>
      </c>
      <c r="F81" s="142" t="str">
        <f>IF('Regional data'!H21&gt;0,'Regional data'!H21*Prod_CR*Size_dist_SQ_CR/(NB_SQ_CR*'Regional data'!E21),"-")</f>
        <v>-</v>
      </c>
      <c r="G81" s="195" t="str">
        <f t="shared" si="0"/>
        <v>-</v>
      </c>
      <c r="H81" s="196" t="str">
        <f t="shared" si="1"/>
        <v>-</v>
      </c>
      <c r="I81" s="198" t="str">
        <f t="shared" si="2"/>
        <v>-</v>
      </c>
      <c r="J81" s="191" t="str">
        <f t="shared" si="3"/>
        <v>-</v>
      </c>
      <c r="K81" s="142" t="str">
        <f t="shared" si="4"/>
        <v>-</v>
      </c>
      <c r="L81" s="192" t="str">
        <f t="shared" si="5"/>
        <v>-</v>
      </c>
      <c r="M81" s="142" t="str">
        <f>IF(J81="-","-",J81*NB_LQ_CR*'Regional data'!C21)</f>
        <v>-</v>
      </c>
      <c r="N81" s="142" t="str">
        <f>IF(K81="-","-",K81*NB_MQ_CR*'Regional data'!D21)</f>
        <v>-</v>
      </c>
      <c r="O81" s="142" t="str">
        <f>IF(L81="-","-",L81*NB_SQ_CR*'Regional data'!E21)</f>
        <v>-</v>
      </c>
      <c r="P81" s="141" t="str">
        <f>IF('Regional data'!L21&gt;0,'Regional data'!L21*Prod_CR*Size_dist_LQ_SG/(NB_LQ_SG*'Regional data'!I21),"-")</f>
        <v>-</v>
      </c>
      <c r="Q81" s="142" t="str">
        <f>IF('Regional data'!M21&gt;0,'Regional data'!M21*Prod_SG*Size_dist_MQ_SG/(NB_MQ_SG*'Regional data'!J21),"-")</f>
        <v>-</v>
      </c>
      <c r="R81" s="142" t="str">
        <f>IF('Regional data'!N21&gt;0,'Regional data'!N21*Prod_SG*Size_dist_SQ_SG/(NB_SQ_SG*'Regional data'!K21),"-")</f>
        <v>-</v>
      </c>
      <c r="S81" s="195" t="str">
        <f t="shared" si="6"/>
        <v>-</v>
      </c>
      <c r="T81" s="196" t="str">
        <f t="shared" si="7"/>
        <v>-</v>
      </c>
      <c r="U81" s="198" t="str">
        <f t="shared" si="8"/>
        <v>-</v>
      </c>
      <c r="V81" s="191" t="str">
        <f t="shared" si="9"/>
        <v>-</v>
      </c>
      <c r="W81" s="142" t="str">
        <f t="shared" si="10"/>
        <v>-</v>
      </c>
      <c r="X81" s="192" t="str">
        <f t="shared" si="11"/>
        <v>-</v>
      </c>
      <c r="Y81" s="191" t="str">
        <f>IF(V81="-","-",V81*NB_LQ_SG*'Regional data'!I21)</f>
        <v>-</v>
      </c>
      <c r="Z81" s="142" t="str">
        <f>IF(W81="-","-",W81*NB_MQ_SG*'Regional data'!J21)</f>
        <v>-</v>
      </c>
      <c r="AA81" s="192" t="str">
        <f>IF(X81="-","-",X81*NB_SQ_SG*'Regional data'!K21)</f>
        <v>-</v>
      </c>
      <c r="AB81" s="141" t="str">
        <f>IF('Regional data'!R21&gt;0,'Regional data'!R21*Prod_RA*Size_dist_LQ_RA/(NB_LQ_RA*'Regional data'!O21),"-")</f>
        <v>-</v>
      </c>
      <c r="AC81" s="142" t="str">
        <f>IF('Regional data'!S21&gt;0,'Regional data'!S21*Prod_RA*Size_dist_MQ_RA/(NB_MQ_RA*'Regional data'!P21),"-")</f>
        <v>-</v>
      </c>
      <c r="AD81" s="142" t="str">
        <f>IF('Regional data'!T21&gt;0,'Regional data'!T21*Prod_RA*Size_dist_SQ_RA/(NB_SQ_RA*'Regional data'!Q21),"-")</f>
        <v>-</v>
      </c>
      <c r="AE81" s="195" t="str">
        <f t="shared" si="12"/>
        <v>-</v>
      </c>
      <c r="AF81" s="196" t="str">
        <f t="shared" si="13"/>
        <v>-</v>
      </c>
      <c r="AG81" s="198" t="str">
        <f t="shared" si="14"/>
        <v>-</v>
      </c>
      <c r="AH81" s="191" t="str">
        <f t="shared" si="15"/>
        <v>-</v>
      </c>
      <c r="AI81" s="142" t="str">
        <f t="shared" si="16"/>
        <v>-</v>
      </c>
      <c r="AJ81" s="192" t="str">
        <f t="shared" si="17"/>
        <v>-</v>
      </c>
      <c r="AK81" s="82" t="str">
        <f>IF(AH81="-","-",AH81*NB_LQ_RA*'Regional data'!O21)</f>
        <v>-</v>
      </c>
      <c r="AL81" s="142" t="str">
        <f>IF(AI81="-","-",AI81*NB_MQ_RA*'Regional data'!P21)</f>
        <v>-</v>
      </c>
      <c r="AM81" s="134" t="str">
        <f>IF(AJ81="-","-",AJ81*NB_SQ_RA*'Regional data'!Q21)</f>
        <v>-</v>
      </c>
    </row>
    <row r="82" spans="2:39" x14ac:dyDescent="0.25">
      <c r="B82" s="80">
        <f>'Regional data'!B22</f>
        <v>0</v>
      </c>
      <c r="C82" s="85">
        <f>Coeff_wind_Erosion_CR*(365*(365-'Regional data'!V22)/235)*('Regional data'!W22/365*100/15)*1000</f>
        <v>0</v>
      </c>
      <c r="D82" s="142" t="str">
        <f>IF('Regional data'!F22&gt;0,'Regional data'!F22*Prod_CR*Size_dist_LQ_CR/(NB_LQ_CR*'Regional data'!C22),"-")</f>
        <v>-</v>
      </c>
      <c r="E82" s="142" t="str">
        <f>IF('Regional data'!G22&gt;0,'Regional data'!G22*Prod_CR*Size_dist_MQ_CR/(NB_MQ_CR*'Regional data'!D22),"-")</f>
        <v>-</v>
      </c>
      <c r="F82" s="142" t="str">
        <f>IF('Regional data'!H22&gt;0,'Regional data'!H22*Prod_CR*Size_dist_SQ_CR/(NB_SQ_CR*'Regional data'!E22),"-")</f>
        <v>-</v>
      </c>
      <c r="G82" s="195" t="str">
        <f t="shared" si="0"/>
        <v>-</v>
      </c>
      <c r="H82" s="196" t="str">
        <f t="shared" si="1"/>
        <v>-</v>
      </c>
      <c r="I82" s="198" t="str">
        <f t="shared" si="2"/>
        <v>-</v>
      </c>
      <c r="J82" s="191" t="str">
        <f t="shared" si="3"/>
        <v>-</v>
      </c>
      <c r="K82" s="142" t="str">
        <f t="shared" si="4"/>
        <v>-</v>
      </c>
      <c r="L82" s="192" t="str">
        <f t="shared" si="5"/>
        <v>-</v>
      </c>
      <c r="M82" s="142" t="str">
        <f>IF(J82="-","-",J82*NB_LQ_CR*'Regional data'!C22)</f>
        <v>-</v>
      </c>
      <c r="N82" s="142" t="str">
        <f>IF(K82="-","-",K82*NB_MQ_CR*'Regional data'!D22)</f>
        <v>-</v>
      </c>
      <c r="O82" s="142" t="str">
        <f>IF(L82="-","-",L82*NB_SQ_CR*'Regional data'!E22)</f>
        <v>-</v>
      </c>
      <c r="P82" s="141" t="str">
        <f>IF('Regional data'!L22&gt;0,'Regional data'!L22*Prod_CR*Size_dist_LQ_SG/(NB_LQ_SG*'Regional data'!I22),"-")</f>
        <v>-</v>
      </c>
      <c r="Q82" s="142" t="str">
        <f>IF('Regional data'!M22&gt;0,'Regional data'!M22*Prod_SG*Size_dist_MQ_SG/(NB_MQ_SG*'Regional data'!J22),"-")</f>
        <v>-</v>
      </c>
      <c r="R82" s="142" t="str">
        <f>IF('Regional data'!N22&gt;0,'Regional data'!N22*Prod_SG*Size_dist_SQ_SG/(NB_SQ_SG*'Regional data'!K22),"-")</f>
        <v>-</v>
      </c>
      <c r="S82" s="195" t="str">
        <f t="shared" si="6"/>
        <v>-</v>
      </c>
      <c r="T82" s="196" t="str">
        <f t="shared" si="7"/>
        <v>-</v>
      </c>
      <c r="U82" s="198" t="str">
        <f t="shared" si="8"/>
        <v>-</v>
      </c>
      <c r="V82" s="191" t="str">
        <f t="shared" si="9"/>
        <v>-</v>
      </c>
      <c r="W82" s="142" t="str">
        <f t="shared" si="10"/>
        <v>-</v>
      </c>
      <c r="X82" s="192" t="str">
        <f t="shared" si="11"/>
        <v>-</v>
      </c>
      <c r="Y82" s="191" t="str">
        <f>IF(V82="-","-",V82*NB_LQ_SG*'Regional data'!I22)</f>
        <v>-</v>
      </c>
      <c r="Z82" s="142" t="str">
        <f>IF(W82="-","-",W82*NB_MQ_SG*'Regional data'!J22)</f>
        <v>-</v>
      </c>
      <c r="AA82" s="192" t="str">
        <f>IF(X82="-","-",X82*NB_SQ_SG*'Regional data'!K22)</f>
        <v>-</v>
      </c>
      <c r="AB82" s="141" t="str">
        <f>IF('Regional data'!R22&gt;0,'Regional data'!R22*Prod_RA*Size_dist_LQ_RA/(NB_LQ_RA*'Regional data'!O22),"-")</f>
        <v>-</v>
      </c>
      <c r="AC82" s="142" t="str">
        <f>IF('Regional data'!S22&gt;0,'Regional data'!S22*Prod_RA*Size_dist_MQ_RA/(NB_MQ_RA*'Regional data'!P22),"-")</f>
        <v>-</v>
      </c>
      <c r="AD82" s="142" t="str">
        <f>IF('Regional data'!T22&gt;0,'Regional data'!T22*Prod_RA*Size_dist_SQ_RA/(NB_SQ_RA*'Regional data'!Q22),"-")</f>
        <v>-</v>
      </c>
      <c r="AE82" s="195" t="str">
        <f t="shared" si="12"/>
        <v>-</v>
      </c>
      <c r="AF82" s="196" t="str">
        <f t="shared" si="13"/>
        <v>-</v>
      </c>
      <c r="AG82" s="198" t="str">
        <f t="shared" si="14"/>
        <v>-</v>
      </c>
      <c r="AH82" s="191" t="str">
        <f t="shared" si="15"/>
        <v>-</v>
      </c>
      <c r="AI82" s="142" t="str">
        <f t="shared" si="16"/>
        <v>-</v>
      </c>
      <c r="AJ82" s="192" t="str">
        <f t="shared" si="17"/>
        <v>-</v>
      </c>
      <c r="AK82" s="82" t="str">
        <f>IF(AH82="-","-",AH82*NB_LQ_RA*'Regional data'!O22)</f>
        <v>-</v>
      </c>
      <c r="AL82" s="142" t="str">
        <f>IF(AI82="-","-",AI82*NB_MQ_RA*'Regional data'!P22)</f>
        <v>-</v>
      </c>
      <c r="AM82" s="134" t="str">
        <f>IF(AJ82="-","-",AJ82*NB_SQ_RA*'Regional data'!Q22)</f>
        <v>-</v>
      </c>
    </row>
    <row r="83" spans="2:39" x14ac:dyDescent="0.25">
      <c r="B83" s="80">
        <f>'Regional data'!B23</f>
        <v>0</v>
      </c>
      <c r="C83" s="85">
        <f>Coeff_wind_Erosion_CR*(365*(365-'Regional data'!V23)/235)*('Regional data'!W23/365*100/15)*1000</f>
        <v>0</v>
      </c>
      <c r="D83" s="142" t="str">
        <f>IF('Regional data'!F23&gt;0,'Regional data'!F23*Prod_CR*Size_dist_LQ_CR/(NB_LQ_CR*'Regional data'!C23),"-")</f>
        <v>-</v>
      </c>
      <c r="E83" s="142" t="str">
        <f>IF('Regional data'!G23&gt;0,'Regional data'!G23*Prod_CR*Size_dist_MQ_CR/(NB_MQ_CR*'Regional data'!D23),"-")</f>
        <v>-</v>
      </c>
      <c r="F83" s="142" t="str">
        <f>IF('Regional data'!H23&gt;0,'Regional data'!H23*Prod_CR*Size_dist_SQ_CR/(NB_SQ_CR*'Regional data'!E23),"-")</f>
        <v>-</v>
      </c>
      <c r="G83" s="195" t="str">
        <f t="shared" si="0"/>
        <v>-</v>
      </c>
      <c r="H83" s="196" t="str">
        <f t="shared" si="1"/>
        <v>-</v>
      </c>
      <c r="I83" s="198" t="str">
        <f t="shared" si="2"/>
        <v>-</v>
      </c>
      <c r="J83" s="191" t="str">
        <f t="shared" si="3"/>
        <v>-</v>
      </c>
      <c r="K83" s="142" t="str">
        <f t="shared" si="4"/>
        <v>-</v>
      </c>
      <c r="L83" s="192" t="str">
        <f t="shared" si="5"/>
        <v>-</v>
      </c>
      <c r="M83" s="142" t="str">
        <f>IF(J83="-","-",J83*NB_LQ_CR*'Regional data'!C23)</f>
        <v>-</v>
      </c>
      <c r="N83" s="142" t="str">
        <f>IF(K83="-","-",K83*NB_MQ_CR*'Regional data'!D23)</f>
        <v>-</v>
      </c>
      <c r="O83" s="142" t="str">
        <f>IF(L83="-","-",L83*NB_SQ_CR*'Regional data'!E23)</f>
        <v>-</v>
      </c>
      <c r="P83" s="141" t="str">
        <f>IF('Regional data'!L23&gt;0,'Regional data'!L23*Prod_CR*Size_dist_LQ_SG/(NB_LQ_SG*'Regional data'!I23),"-")</f>
        <v>-</v>
      </c>
      <c r="Q83" s="142" t="str">
        <f>IF('Regional data'!M23&gt;0,'Regional data'!M23*Prod_SG*Size_dist_MQ_SG/(NB_MQ_SG*'Regional data'!J23),"-")</f>
        <v>-</v>
      </c>
      <c r="R83" s="142" t="str">
        <f>IF('Regional data'!N23&gt;0,'Regional data'!N23*Prod_SG*Size_dist_SQ_SG/(NB_SQ_SG*'Regional data'!K23),"-")</f>
        <v>-</v>
      </c>
      <c r="S83" s="195" t="str">
        <f t="shared" si="6"/>
        <v>-</v>
      </c>
      <c r="T83" s="196" t="str">
        <f t="shared" si="7"/>
        <v>-</v>
      </c>
      <c r="U83" s="198" t="str">
        <f t="shared" si="8"/>
        <v>-</v>
      </c>
      <c r="V83" s="191" t="str">
        <f t="shared" si="9"/>
        <v>-</v>
      </c>
      <c r="W83" s="142" t="str">
        <f t="shared" si="10"/>
        <v>-</v>
      </c>
      <c r="X83" s="192" t="str">
        <f t="shared" si="11"/>
        <v>-</v>
      </c>
      <c r="Y83" s="191" t="str">
        <f>IF(V83="-","-",V83*NB_LQ_SG*'Regional data'!I23)</f>
        <v>-</v>
      </c>
      <c r="Z83" s="142" t="str">
        <f>IF(W83="-","-",W83*NB_MQ_SG*'Regional data'!J23)</f>
        <v>-</v>
      </c>
      <c r="AA83" s="192" t="str">
        <f>IF(X83="-","-",X83*NB_SQ_SG*'Regional data'!K23)</f>
        <v>-</v>
      </c>
      <c r="AB83" s="141" t="str">
        <f>IF('Regional data'!R23&gt;0,'Regional data'!R23*Prod_RA*Size_dist_LQ_RA/(NB_LQ_RA*'Regional data'!O23),"-")</f>
        <v>-</v>
      </c>
      <c r="AC83" s="142" t="str">
        <f>IF('Regional data'!S23&gt;0,'Regional data'!S23*Prod_RA*Size_dist_MQ_RA/(NB_MQ_RA*'Regional data'!P23),"-")</f>
        <v>-</v>
      </c>
      <c r="AD83" s="142" t="str">
        <f>IF('Regional data'!T23&gt;0,'Regional data'!T23*Prod_RA*Size_dist_SQ_RA/(NB_SQ_RA*'Regional data'!Q23),"-")</f>
        <v>-</v>
      </c>
      <c r="AE83" s="195" t="str">
        <f t="shared" si="12"/>
        <v>-</v>
      </c>
      <c r="AF83" s="196" t="str">
        <f t="shared" si="13"/>
        <v>-</v>
      </c>
      <c r="AG83" s="198" t="str">
        <f t="shared" si="14"/>
        <v>-</v>
      </c>
      <c r="AH83" s="191" t="str">
        <f t="shared" si="15"/>
        <v>-</v>
      </c>
      <c r="AI83" s="142" t="str">
        <f t="shared" si="16"/>
        <v>-</v>
      </c>
      <c r="AJ83" s="192" t="str">
        <f t="shared" si="17"/>
        <v>-</v>
      </c>
      <c r="AK83" s="82" t="str">
        <f>IF(AH83="-","-",AH83*NB_LQ_RA*'Regional data'!O23)</f>
        <v>-</v>
      </c>
      <c r="AL83" s="142" t="str">
        <f>IF(AI83="-","-",AI83*NB_MQ_RA*'Regional data'!P23)</f>
        <v>-</v>
      </c>
      <c r="AM83" s="134" t="str">
        <f>IF(AJ83="-","-",AJ83*NB_SQ_RA*'Regional data'!Q23)</f>
        <v>-</v>
      </c>
    </row>
    <row r="84" spans="2:39" x14ac:dyDescent="0.25">
      <c r="B84" s="80">
        <f>'Regional data'!B24</f>
        <v>0</v>
      </c>
      <c r="C84" s="85">
        <f>Coeff_wind_Erosion_CR*(365*(365-'Regional data'!V24)/235)*('Regional data'!W24/365*100/15)*1000</f>
        <v>0</v>
      </c>
      <c r="D84" s="142" t="str">
        <f>IF('Regional data'!F24&gt;0,'Regional data'!F24*Prod_CR*Size_dist_LQ_CR/(NB_LQ_CR*'Regional data'!C24),"-")</f>
        <v>-</v>
      </c>
      <c r="E84" s="142" t="str">
        <f>IF('Regional data'!G24&gt;0,'Regional data'!G24*Prod_CR*Size_dist_MQ_CR/(NB_MQ_CR*'Regional data'!D24),"-")</f>
        <v>-</v>
      </c>
      <c r="F84" s="142" t="str">
        <f>IF('Regional data'!H24&gt;0,'Regional data'!H24*Prod_CR*Size_dist_SQ_CR/(NB_SQ_CR*'Regional data'!E24),"-")</f>
        <v>-</v>
      </c>
      <c r="G84" s="195" t="str">
        <f t="shared" si="0"/>
        <v>-</v>
      </c>
      <c r="H84" s="196" t="str">
        <f t="shared" si="1"/>
        <v>-</v>
      </c>
      <c r="I84" s="198" t="str">
        <f t="shared" si="2"/>
        <v>-</v>
      </c>
      <c r="J84" s="191" t="str">
        <f t="shared" si="3"/>
        <v>-</v>
      </c>
      <c r="K84" s="142" t="str">
        <f t="shared" si="4"/>
        <v>-</v>
      </c>
      <c r="L84" s="192" t="str">
        <f t="shared" si="5"/>
        <v>-</v>
      </c>
      <c r="M84" s="142" t="str">
        <f>IF(J84="-","-",J84*NB_LQ_CR*'Regional data'!C24)</f>
        <v>-</v>
      </c>
      <c r="N84" s="142" t="str">
        <f>IF(K84="-","-",K84*NB_MQ_CR*'Regional data'!D24)</f>
        <v>-</v>
      </c>
      <c r="O84" s="142" t="str">
        <f>IF(L84="-","-",L84*NB_SQ_CR*'Regional data'!E24)</f>
        <v>-</v>
      </c>
      <c r="P84" s="141" t="str">
        <f>IF('Regional data'!L24&gt;0,'Regional data'!L24*Prod_CR*Size_dist_LQ_SG/(NB_LQ_SG*'Regional data'!I24),"-")</f>
        <v>-</v>
      </c>
      <c r="Q84" s="142" t="str">
        <f>IF('Regional data'!M24&gt;0,'Regional data'!M24*Prod_SG*Size_dist_MQ_SG/(NB_MQ_SG*'Regional data'!J24),"-")</f>
        <v>-</v>
      </c>
      <c r="R84" s="142" t="str">
        <f>IF('Regional data'!N24&gt;0,'Regional data'!N24*Prod_SG*Size_dist_SQ_SG/(NB_SQ_SG*'Regional data'!K24),"-")</f>
        <v>-</v>
      </c>
      <c r="S84" s="195" t="str">
        <f t="shared" si="6"/>
        <v>-</v>
      </c>
      <c r="T84" s="196" t="str">
        <f t="shared" si="7"/>
        <v>-</v>
      </c>
      <c r="U84" s="198" t="str">
        <f t="shared" si="8"/>
        <v>-</v>
      </c>
      <c r="V84" s="191" t="str">
        <f t="shared" si="9"/>
        <v>-</v>
      </c>
      <c r="W84" s="142" t="str">
        <f t="shared" si="10"/>
        <v>-</v>
      </c>
      <c r="X84" s="192" t="str">
        <f t="shared" si="11"/>
        <v>-</v>
      </c>
      <c r="Y84" s="191" t="str">
        <f>IF(V84="-","-",V84*NB_LQ_SG*'Regional data'!I24)</f>
        <v>-</v>
      </c>
      <c r="Z84" s="142" t="str">
        <f>IF(W84="-","-",W84*NB_MQ_SG*'Regional data'!J24)</f>
        <v>-</v>
      </c>
      <c r="AA84" s="192" t="str">
        <f>IF(X84="-","-",X84*NB_SQ_SG*'Regional data'!K24)</f>
        <v>-</v>
      </c>
      <c r="AB84" s="141" t="str">
        <f>IF('Regional data'!R24&gt;0,'Regional data'!R24*Prod_RA*Size_dist_LQ_RA/(NB_LQ_RA*'Regional data'!O24),"-")</f>
        <v>-</v>
      </c>
      <c r="AC84" s="142" t="str">
        <f>IF('Regional data'!S24&gt;0,'Regional data'!S24*Prod_RA*Size_dist_MQ_RA/(NB_MQ_RA*'Regional data'!P24),"-")</f>
        <v>-</v>
      </c>
      <c r="AD84" s="142" t="str">
        <f>IF('Regional data'!T24&gt;0,'Regional data'!T24*Prod_RA*Size_dist_SQ_RA/(NB_SQ_RA*'Regional data'!Q24),"-")</f>
        <v>-</v>
      </c>
      <c r="AE84" s="195" t="str">
        <f t="shared" si="12"/>
        <v>-</v>
      </c>
      <c r="AF84" s="196" t="str">
        <f t="shared" si="13"/>
        <v>-</v>
      </c>
      <c r="AG84" s="198" t="str">
        <f t="shared" si="14"/>
        <v>-</v>
      </c>
      <c r="AH84" s="191" t="str">
        <f t="shared" si="15"/>
        <v>-</v>
      </c>
      <c r="AI84" s="142" t="str">
        <f t="shared" si="16"/>
        <v>-</v>
      </c>
      <c r="AJ84" s="192" t="str">
        <f t="shared" si="17"/>
        <v>-</v>
      </c>
      <c r="AK84" s="82" t="str">
        <f>IF(AH84="-","-",AH84*NB_LQ_RA*'Regional data'!O24)</f>
        <v>-</v>
      </c>
      <c r="AL84" s="142" t="str">
        <f>IF(AI84="-","-",AI84*NB_MQ_RA*'Regional data'!P24)</f>
        <v>-</v>
      </c>
      <c r="AM84" s="134" t="str">
        <f>IF(AJ84="-","-",AJ84*NB_SQ_RA*'Regional data'!Q24)</f>
        <v>-</v>
      </c>
    </row>
    <row r="85" spans="2:39" x14ac:dyDescent="0.25">
      <c r="B85" s="80">
        <f>'Regional data'!B25</f>
        <v>0</v>
      </c>
      <c r="C85" s="85">
        <f>Coeff_wind_Erosion_CR*(365*(365-'Regional data'!V25)/235)*('Regional data'!W25/365*100/15)*1000</f>
        <v>0</v>
      </c>
      <c r="D85" s="142" t="str">
        <f>IF('Regional data'!F25&gt;0,'Regional data'!F25*Prod_CR*Size_dist_LQ_CR/(NB_LQ_CR*'Regional data'!C25),"-")</f>
        <v>-</v>
      </c>
      <c r="E85" s="142" t="str">
        <f>IF('Regional data'!G25&gt;0,'Regional data'!G25*Prod_CR*Size_dist_MQ_CR/(NB_MQ_CR*'Regional data'!D25),"-")</f>
        <v>-</v>
      </c>
      <c r="F85" s="142" t="str">
        <f>IF('Regional data'!H25&gt;0,'Regional data'!H25*Prod_CR*Size_dist_SQ_CR/(NB_SQ_CR*'Regional data'!E25),"-")</f>
        <v>-</v>
      </c>
      <c r="G85" s="195" t="str">
        <f t="shared" si="0"/>
        <v>-</v>
      </c>
      <c r="H85" s="196" t="str">
        <f t="shared" si="1"/>
        <v>-</v>
      </c>
      <c r="I85" s="198" t="str">
        <f t="shared" si="2"/>
        <v>-</v>
      </c>
      <c r="J85" s="191" t="str">
        <f t="shared" si="3"/>
        <v>-</v>
      </c>
      <c r="K85" s="142" t="str">
        <f t="shared" si="4"/>
        <v>-</v>
      </c>
      <c r="L85" s="192" t="str">
        <f t="shared" si="5"/>
        <v>-</v>
      </c>
      <c r="M85" s="142" t="str">
        <f>IF(J85="-","-",J85*NB_LQ_CR*'Regional data'!C25)</f>
        <v>-</v>
      </c>
      <c r="N85" s="142" t="str">
        <f>IF(K85="-","-",K85*NB_MQ_CR*'Regional data'!D25)</f>
        <v>-</v>
      </c>
      <c r="O85" s="142" t="str">
        <f>IF(L85="-","-",L85*NB_SQ_CR*'Regional data'!E25)</f>
        <v>-</v>
      </c>
      <c r="P85" s="141" t="str">
        <f>IF('Regional data'!L25&gt;0,'Regional data'!L25*Prod_CR*Size_dist_LQ_SG/(NB_LQ_SG*'Regional data'!I25),"-")</f>
        <v>-</v>
      </c>
      <c r="Q85" s="142" t="str">
        <f>IF('Regional data'!M25&gt;0,'Regional data'!M25*Prod_SG*Size_dist_MQ_SG/(NB_MQ_SG*'Regional data'!J25),"-")</f>
        <v>-</v>
      </c>
      <c r="R85" s="142" t="str">
        <f>IF('Regional data'!N25&gt;0,'Regional data'!N25*Prod_SG*Size_dist_SQ_SG/(NB_SQ_SG*'Regional data'!K25),"-")</f>
        <v>-</v>
      </c>
      <c r="S85" s="195" t="str">
        <f t="shared" si="6"/>
        <v>-</v>
      </c>
      <c r="T85" s="196" t="str">
        <f t="shared" si="7"/>
        <v>-</v>
      </c>
      <c r="U85" s="198" t="str">
        <f t="shared" si="8"/>
        <v>-</v>
      </c>
      <c r="V85" s="191" t="str">
        <f t="shared" si="9"/>
        <v>-</v>
      </c>
      <c r="W85" s="142" t="str">
        <f t="shared" si="10"/>
        <v>-</v>
      </c>
      <c r="X85" s="192" t="str">
        <f t="shared" si="11"/>
        <v>-</v>
      </c>
      <c r="Y85" s="191" t="str">
        <f>IF(V85="-","-",V85*NB_LQ_SG*'Regional data'!I25)</f>
        <v>-</v>
      </c>
      <c r="Z85" s="142" t="str">
        <f>IF(W85="-","-",W85*NB_MQ_SG*'Regional data'!J25)</f>
        <v>-</v>
      </c>
      <c r="AA85" s="192" t="str">
        <f>IF(X85="-","-",X85*NB_SQ_SG*'Regional data'!K25)</f>
        <v>-</v>
      </c>
      <c r="AB85" s="141" t="str">
        <f>IF('Regional data'!R25&gt;0,'Regional data'!R25*Prod_RA*Size_dist_LQ_RA/(NB_LQ_RA*'Regional data'!O25),"-")</f>
        <v>-</v>
      </c>
      <c r="AC85" s="142" t="str">
        <f>IF('Regional data'!S25&gt;0,'Regional data'!S25*Prod_RA*Size_dist_MQ_RA/(NB_MQ_RA*'Regional data'!P25),"-")</f>
        <v>-</v>
      </c>
      <c r="AD85" s="142" t="str">
        <f>IF('Regional data'!T25&gt;0,'Regional data'!T25*Prod_RA*Size_dist_SQ_RA/(NB_SQ_RA*'Regional data'!Q25),"-")</f>
        <v>-</v>
      </c>
      <c r="AE85" s="195" t="str">
        <f t="shared" si="12"/>
        <v>-</v>
      </c>
      <c r="AF85" s="196" t="str">
        <f t="shared" si="13"/>
        <v>-</v>
      </c>
      <c r="AG85" s="198" t="str">
        <f t="shared" si="14"/>
        <v>-</v>
      </c>
      <c r="AH85" s="191" t="str">
        <f t="shared" si="15"/>
        <v>-</v>
      </c>
      <c r="AI85" s="142" t="str">
        <f t="shared" si="16"/>
        <v>-</v>
      </c>
      <c r="AJ85" s="192" t="str">
        <f t="shared" si="17"/>
        <v>-</v>
      </c>
      <c r="AK85" s="82" t="str">
        <f>IF(AH85="-","-",AH85*NB_LQ_RA*'Regional data'!O25)</f>
        <v>-</v>
      </c>
      <c r="AL85" s="142" t="str">
        <f>IF(AI85="-","-",AI85*NB_MQ_RA*'Regional data'!P25)</f>
        <v>-</v>
      </c>
      <c r="AM85" s="134" t="str">
        <f>IF(AJ85="-","-",AJ85*NB_SQ_RA*'Regional data'!Q25)</f>
        <v>-</v>
      </c>
    </row>
    <row r="86" spans="2:39" x14ac:dyDescent="0.25">
      <c r="B86" s="80">
        <f>'Regional data'!B26</f>
        <v>0</v>
      </c>
      <c r="C86" s="85">
        <f>Coeff_wind_Erosion_CR*(365*(365-'Regional data'!V26)/235)*('Regional data'!W26/365*100/15)*1000</f>
        <v>0</v>
      </c>
      <c r="D86" s="142" t="str">
        <f>IF('Regional data'!F26&gt;0,'Regional data'!F26*Prod_CR*Size_dist_LQ_CR/(NB_LQ_CR*'Regional data'!C26),"-")</f>
        <v>-</v>
      </c>
      <c r="E86" s="142" t="str">
        <f>IF('Regional data'!G26&gt;0,'Regional data'!G26*Prod_CR*Size_dist_MQ_CR/(NB_MQ_CR*'Regional data'!D26),"-")</f>
        <v>-</v>
      </c>
      <c r="F86" s="142" t="str">
        <f>IF('Regional data'!H26&gt;0,'Regional data'!H26*Prod_CR*Size_dist_SQ_CR/(NB_SQ_CR*'Regional data'!E26),"-")</f>
        <v>-</v>
      </c>
      <c r="G86" s="195" t="str">
        <f t="shared" si="0"/>
        <v>-</v>
      </c>
      <c r="H86" s="196" t="str">
        <f t="shared" si="1"/>
        <v>-</v>
      </c>
      <c r="I86" s="198" t="str">
        <f t="shared" si="2"/>
        <v>-</v>
      </c>
      <c r="J86" s="191" t="str">
        <f t="shared" si="3"/>
        <v>-</v>
      </c>
      <c r="K86" s="142" t="str">
        <f t="shared" si="4"/>
        <v>-</v>
      </c>
      <c r="L86" s="192" t="str">
        <f t="shared" si="5"/>
        <v>-</v>
      </c>
      <c r="M86" s="142" t="str">
        <f>IF(J86="-","-",J86*NB_LQ_CR*'Regional data'!C26)</f>
        <v>-</v>
      </c>
      <c r="N86" s="142" t="str">
        <f>IF(K86="-","-",K86*NB_MQ_CR*'Regional data'!D26)</f>
        <v>-</v>
      </c>
      <c r="O86" s="142" t="str">
        <f>IF(L86="-","-",L86*NB_SQ_CR*'Regional data'!E26)</f>
        <v>-</v>
      </c>
      <c r="P86" s="141" t="str">
        <f>IF('Regional data'!L26&gt;0,'Regional data'!L26*Prod_CR*Size_dist_LQ_SG/(NB_LQ_SG*'Regional data'!I26),"-")</f>
        <v>-</v>
      </c>
      <c r="Q86" s="142" t="str">
        <f>IF('Regional data'!M26&gt;0,'Regional data'!M26*Prod_SG*Size_dist_MQ_SG/(NB_MQ_SG*'Regional data'!J26),"-")</f>
        <v>-</v>
      </c>
      <c r="R86" s="142" t="str">
        <f>IF('Regional data'!N26&gt;0,'Regional data'!N26*Prod_SG*Size_dist_SQ_SG/(NB_SQ_SG*'Regional data'!K26),"-")</f>
        <v>-</v>
      </c>
      <c r="S86" s="195" t="str">
        <f t="shared" si="6"/>
        <v>-</v>
      </c>
      <c r="T86" s="196" t="str">
        <f t="shared" si="7"/>
        <v>-</v>
      </c>
      <c r="U86" s="198" t="str">
        <f t="shared" si="8"/>
        <v>-</v>
      </c>
      <c r="V86" s="191" t="str">
        <f t="shared" si="9"/>
        <v>-</v>
      </c>
      <c r="W86" s="142" t="str">
        <f t="shared" si="10"/>
        <v>-</v>
      </c>
      <c r="X86" s="192" t="str">
        <f t="shared" si="11"/>
        <v>-</v>
      </c>
      <c r="Y86" s="191" t="str">
        <f>IF(V86="-","-",V86*NB_LQ_SG*'Regional data'!I26)</f>
        <v>-</v>
      </c>
      <c r="Z86" s="142" t="str">
        <f>IF(W86="-","-",W86*NB_MQ_SG*'Regional data'!J26)</f>
        <v>-</v>
      </c>
      <c r="AA86" s="192" t="str">
        <f>IF(X86="-","-",X86*NB_SQ_SG*'Regional data'!K26)</f>
        <v>-</v>
      </c>
      <c r="AB86" s="141" t="str">
        <f>IF('Regional data'!R26&gt;0,'Regional data'!R26*Prod_RA*Size_dist_LQ_RA/(NB_LQ_RA*'Regional data'!O26),"-")</f>
        <v>-</v>
      </c>
      <c r="AC86" s="142" t="str">
        <f>IF('Regional data'!S26&gt;0,'Regional data'!S26*Prod_RA*Size_dist_MQ_RA/(NB_MQ_RA*'Regional data'!P26),"-")</f>
        <v>-</v>
      </c>
      <c r="AD86" s="142" t="str">
        <f>IF('Regional data'!T26&gt;0,'Regional data'!T26*Prod_RA*Size_dist_SQ_RA/(NB_SQ_RA*'Regional data'!Q26),"-")</f>
        <v>-</v>
      </c>
      <c r="AE86" s="195" t="str">
        <f t="shared" si="12"/>
        <v>-</v>
      </c>
      <c r="AF86" s="196" t="str">
        <f t="shared" si="13"/>
        <v>-</v>
      </c>
      <c r="AG86" s="198" t="str">
        <f t="shared" si="14"/>
        <v>-</v>
      </c>
      <c r="AH86" s="191" t="str">
        <f t="shared" si="15"/>
        <v>-</v>
      </c>
      <c r="AI86" s="142" t="str">
        <f t="shared" si="16"/>
        <v>-</v>
      </c>
      <c r="AJ86" s="192" t="str">
        <f t="shared" si="17"/>
        <v>-</v>
      </c>
      <c r="AK86" s="82" t="str">
        <f>IF(AH86="-","-",AH86*NB_LQ_RA*'Regional data'!O26)</f>
        <v>-</v>
      </c>
      <c r="AL86" s="142" t="str">
        <f>IF(AI86="-","-",AI86*NB_MQ_RA*'Regional data'!P26)</f>
        <v>-</v>
      </c>
      <c r="AM86" s="134" t="str">
        <f>IF(AJ86="-","-",AJ86*NB_SQ_RA*'Regional data'!Q26)</f>
        <v>-</v>
      </c>
    </row>
    <row r="87" spans="2:39" x14ac:dyDescent="0.25">
      <c r="B87" s="80">
        <f>'Regional data'!B27</f>
        <v>0</v>
      </c>
      <c r="C87" s="85">
        <f>Coeff_wind_Erosion_CR*(365*(365-'Regional data'!V27)/235)*('Regional data'!W27/365*100/15)*1000</f>
        <v>0</v>
      </c>
      <c r="D87" s="142" t="str">
        <f>IF('Regional data'!F27&gt;0,'Regional data'!F27*Prod_CR*Size_dist_LQ_CR/(NB_LQ_CR*'Regional data'!C27),"-")</f>
        <v>-</v>
      </c>
      <c r="E87" s="142" t="str">
        <f>IF('Regional data'!G27&gt;0,'Regional data'!G27*Prod_CR*Size_dist_MQ_CR/(NB_MQ_CR*'Regional data'!D27),"-")</f>
        <v>-</v>
      </c>
      <c r="F87" s="142" t="str">
        <f>IF('Regional data'!H27&gt;0,'Regional data'!H27*Prod_CR*Size_dist_SQ_CR/(NB_SQ_CR*'Regional data'!E27),"-")</f>
        <v>-</v>
      </c>
      <c r="G87" s="195" t="str">
        <f t="shared" si="0"/>
        <v>-</v>
      </c>
      <c r="H87" s="196" t="str">
        <f t="shared" si="1"/>
        <v>-</v>
      </c>
      <c r="I87" s="198" t="str">
        <f t="shared" si="2"/>
        <v>-</v>
      </c>
      <c r="J87" s="191" t="str">
        <f t="shared" si="3"/>
        <v>-</v>
      </c>
      <c r="K87" s="142" t="str">
        <f t="shared" si="4"/>
        <v>-</v>
      </c>
      <c r="L87" s="192" t="str">
        <f t="shared" si="5"/>
        <v>-</v>
      </c>
      <c r="M87" s="142" t="str">
        <f>IF(J87="-","-",J87*NB_LQ_CR*'Regional data'!C27)</f>
        <v>-</v>
      </c>
      <c r="N87" s="142" t="str">
        <f>IF(K87="-","-",K87*NB_MQ_CR*'Regional data'!D27)</f>
        <v>-</v>
      </c>
      <c r="O87" s="142" t="str">
        <f>IF(L87="-","-",L87*NB_SQ_CR*'Regional data'!E27)</f>
        <v>-</v>
      </c>
      <c r="P87" s="141" t="str">
        <f>IF('Regional data'!L27&gt;0,'Regional data'!L27*Prod_CR*Size_dist_LQ_SG/(NB_LQ_SG*'Regional data'!I27),"-")</f>
        <v>-</v>
      </c>
      <c r="Q87" s="142" t="str">
        <f>IF('Regional data'!M27&gt;0,'Regional data'!M27*Prod_SG*Size_dist_MQ_SG/(NB_MQ_SG*'Regional data'!J27),"-")</f>
        <v>-</v>
      </c>
      <c r="R87" s="142" t="str">
        <f>IF('Regional data'!N27&gt;0,'Regional data'!N27*Prod_SG*Size_dist_SQ_SG/(NB_SQ_SG*'Regional data'!K27),"-")</f>
        <v>-</v>
      </c>
      <c r="S87" s="195" t="str">
        <f t="shared" si="6"/>
        <v>-</v>
      </c>
      <c r="T87" s="196" t="str">
        <f t="shared" si="7"/>
        <v>-</v>
      </c>
      <c r="U87" s="198" t="str">
        <f t="shared" si="8"/>
        <v>-</v>
      </c>
      <c r="V87" s="191" t="str">
        <f t="shared" si="9"/>
        <v>-</v>
      </c>
      <c r="W87" s="142" t="str">
        <f t="shared" si="10"/>
        <v>-</v>
      </c>
      <c r="X87" s="192" t="str">
        <f t="shared" si="11"/>
        <v>-</v>
      </c>
      <c r="Y87" s="191" t="str">
        <f>IF(V87="-","-",V87*NB_LQ_SG*'Regional data'!I27)</f>
        <v>-</v>
      </c>
      <c r="Z87" s="142" t="str">
        <f>IF(W87="-","-",W87*NB_MQ_SG*'Regional data'!J27)</f>
        <v>-</v>
      </c>
      <c r="AA87" s="192" t="str">
        <f>IF(X87="-","-",X87*NB_SQ_SG*'Regional data'!K27)</f>
        <v>-</v>
      </c>
      <c r="AB87" s="141" t="str">
        <f>IF('Regional data'!R27&gt;0,'Regional data'!R27*Prod_RA*Size_dist_LQ_RA/(NB_LQ_RA*'Regional data'!O27),"-")</f>
        <v>-</v>
      </c>
      <c r="AC87" s="142" t="str">
        <f>IF('Regional data'!S27&gt;0,'Regional data'!S27*Prod_RA*Size_dist_MQ_RA/(NB_MQ_RA*'Regional data'!P27),"-")</f>
        <v>-</v>
      </c>
      <c r="AD87" s="142" t="str">
        <f>IF('Regional data'!T27&gt;0,'Regional data'!T27*Prod_RA*Size_dist_SQ_RA/(NB_SQ_RA*'Regional data'!Q27),"-")</f>
        <v>-</v>
      </c>
      <c r="AE87" s="195" t="str">
        <f t="shared" si="12"/>
        <v>-</v>
      </c>
      <c r="AF87" s="196" t="str">
        <f t="shared" si="13"/>
        <v>-</v>
      </c>
      <c r="AG87" s="198" t="str">
        <f t="shared" si="14"/>
        <v>-</v>
      </c>
      <c r="AH87" s="191" t="str">
        <f t="shared" si="15"/>
        <v>-</v>
      </c>
      <c r="AI87" s="142" t="str">
        <f t="shared" si="16"/>
        <v>-</v>
      </c>
      <c r="AJ87" s="192" t="str">
        <f t="shared" si="17"/>
        <v>-</v>
      </c>
      <c r="AK87" s="82" t="str">
        <f>IF(AH87="-","-",AH87*NB_LQ_RA*'Regional data'!O27)</f>
        <v>-</v>
      </c>
      <c r="AL87" s="142" t="str">
        <f>IF(AI87="-","-",AI87*NB_MQ_RA*'Regional data'!P27)</f>
        <v>-</v>
      </c>
      <c r="AM87" s="134" t="str">
        <f>IF(AJ87="-","-",AJ87*NB_SQ_RA*'Regional data'!Q27)</f>
        <v>-</v>
      </c>
    </row>
    <row r="88" spans="2:39" x14ac:dyDescent="0.25">
      <c r="B88" s="80">
        <f>'Regional data'!B28</f>
        <v>0</v>
      </c>
      <c r="C88" s="85">
        <f>Coeff_wind_Erosion_CR*(365*(365-'Regional data'!V28)/235)*('Regional data'!W28/365*100/15)*1000</f>
        <v>0</v>
      </c>
      <c r="D88" s="142" t="str">
        <f>IF('Regional data'!F28&gt;0,'Regional data'!F28*Prod_CR*Size_dist_LQ_CR/(NB_LQ_CR*'Regional data'!C28),"-")</f>
        <v>-</v>
      </c>
      <c r="E88" s="142" t="str">
        <f>IF('Regional data'!G28&gt;0,'Regional data'!G28*Prod_CR*Size_dist_MQ_CR/(NB_MQ_CR*'Regional data'!D28),"-")</f>
        <v>-</v>
      </c>
      <c r="F88" s="142" t="str">
        <f>IF('Regional data'!H28&gt;0,'Regional data'!H28*Prod_CR*Size_dist_SQ_CR/(NB_SQ_CR*'Regional data'!E28),"-")</f>
        <v>-</v>
      </c>
      <c r="G88" s="195" t="str">
        <f t="shared" si="0"/>
        <v>-</v>
      </c>
      <c r="H88" s="196" t="str">
        <f t="shared" si="1"/>
        <v>-</v>
      </c>
      <c r="I88" s="198" t="str">
        <f t="shared" si="2"/>
        <v>-</v>
      </c>
      <c r="J88" s="191" t="str">
        <f t="shared" si="3"/>
        <v>-</v>
      </c>
      <c r="K88" s="142" t="str">
        <f t="shared" si="4"/>
        <v>-</v>
      </c>
      <c r="L88" s="192" t="str">
        <f t="shared" si="5"/>
        <v>-</v>
      </c>
      <c r="M88" s="142" t="str">
        <f>IF(J88="-","-",J88*NB_LQ_CR*'Regional data'!C28)</f>
        <v>-</v>
      </c>
      <c r="N88" s="142" t="str">
        <f>IF(K88="-","-",K88*NB_MQ_CR*'Regional data'!D28)</f>
        <v>-</v>
      </c>
      <c r="O88" s="142" t="str">
        <f>IF(L88="-","-",L88*NB_SQ_CR*'Regional data'!E28)</f>
        <v>-</v>
      </c>
      <c r="P88" s="141" t="str">
        <f>IF('Regional data'!L28&gt;0,'Regional data'!L28*Prod_CR*Size_dist_LQ_SG/(NB_LQ_SG*'Regional data'!I28),"-")</f>
        <v>-</v>
      </c>
      <c r="Q88" s="142" t="str">
        <f>IF('Regional data'!M28&gt;0,'Regional data'!M28*Prod_SG*Size_dist_MQ_SG/(NB_MQ_SG*'Regional data'!J28),"-")</f>
        <v>-</v>
      </c>
      <c r="R88" s="142" t="str">
        <f>IF('Regional data'!N28&gt;0,'Regional data'!N28*Prod_SG*Size_dist_SQ_SG/(NB_SQ_SG*'Regional data'!K28),"-")</f>
        <v>-</v>
      </c>
      <c r="S88" s="195" t="str">
        <f t="shared" si="6"/>
        <v>-</v>
      </c>
      <c r="T88" s="196" t="str">
        <f t="shared" si="7"/>
        <v>-</v>
      </c>
      <c r="U88" s="198" t="str">
        <f t="shared" si="8"/>
        <v>-</v>
      </c>
      <c r="V88" s="191" t="str">
        <f t="shared" si="9"/>
        <v>-</v>
      </c>
      <c r="W88" s="142" t="str">
        <f t="shared" si="10"/>
        <v>-</v>
      </c>
      <c r="X88" s="192" t="str">
        <f t="shared" si="11"/>
        <v>-</v>
      </c>
      <c r="Y88" s="191" t="str">
        <f>IF(V88="-","-",V88*NB_LQ_SG*'Regional data'!I28)</f>
        <v>-</v>
      </c>
      <c r="Z88" s="142" t="str">
        <f>IF(W88="-","-",W88*NB_MQ_SG*'Regional data'!J28)</f>
        <v>-</v>
      </c>
      <c r="AA88" s="192" t="str">
        <f>IF(X88="-","-",X88*NB_SQ_SG*'Regional data'!K28)</f>
        <v>-</v>
      </c>
      <c r="AB88" s="141" t="str">
        <f>IF('Regional data'!R28&gt;0,'Regional data'!R28*Prod_RA*Size_dist_LQ_RA/(NB_LQ_RA*'Regional data'!O28),"-")</f>
        <v>-</v>
      </c>
      <c r="AC88" s="142" t="str">
        <f>IF('Regional data'!S28&gt;0,'Regional data'!S28*Prod_RA*Size_dist_MQ_RA/(NB_MQ_RA*'Regional data'!P28),"-")</f>
        <v>-</v>
      </c>
      <c r="AD88" s="142" t="str">
        <f>IF('Regional data'!T28&gt;0,'Regional data'!T28*Prod_RA*Size_dist_SQ_RA/(NB_SQ_RA*'Regional data'!Q28),"-")</f>
        <v>-</v>
      </c>
      <c r="AE88" s="195" t="str">
        <f t="shared" si="12"/>
        <v>-</v>
      </c>
      <c r="AF88" s="196" t="str">
        <f t="shared" si="13"/>
        <v>-</v>
      </c>
      <c r="AG88" s="198" t="str">
        <f t="shared" si="14"/>
        <v>-</v>
      </c>
      <c r="AH88" s="191" t="str">
        <f t="shared" si="15"/>
        <v>-</v>
      </c>
      <c r="AI88" s="142" t="str">
        <f t="shared" si="16"/>
        <v>-</v>
      </c>
      <c r="AJ88" s="192" t="str">
        <f t="shared" si="17"/>
        <v>-</v>
      </c>
      <c r="AK88" s="82" t="str">
        <f>IF(AH88="-","-",AH88*NB_LQ_RA*'Regional data'!O28)</f>
        <v>-</v>
      </c>
      <c r="AL88" s="142" t="str">
        <f>IF(AI88="-","-",AI88*NB_MQ_RA*'Regional data'!P28)</f>
        <v>-</v>
      </c>
      <c r="AM88" s="134" t="str">
        <f>IF(AJ88="-","-",AJ88*NB_SQ_RA*'Regional data'!Q28)</f>
        <v>-</v>
      </c>
    </row>
    <row r="89" spans="2:39" x14ac:dyDescent="0.25">
      <c r="B89" s="80">
        <f>'Regional data'!B29</f>
        <v>0</v>
      </c>
      <c r="C89" s="85">
        <f>Coeff_wind_Erosion_CR*(365*(365-'Regional data'!V29)/235)*('Regional data'!W29/365*100/15)*1000</f>
        <v>0</v>
      </c>
      <c r="D89" s="142" t="str">
        <f>IF('Regional data'!F29&gt;0,'Regional data'!F29*Prod_CR*Size_dist_LQ_CR/(NB_LQ_CR*'Regional data'!C29),"-")</f>
        <v>-</v>
      </c>
      <c r="E89" s="142" t="str">
        <f>IF('Regional data'!G29&gt;0,'Regional data'!G29*Prod_CR*Size_dist_MQ_CR/(NB_MQ_CR*'Regional data'!D29),"-")</f>
        <v>-</v>
      </c>
      <c r="F89" s="142" t="str">
        <f>IF('Regional data'!H29&gt;0,'Regional data'!H29*Prod_CR*Size_dist_SQ_CR/(NB_SQ_CR*'Regional data'!E29),"-")</f>
        <v>-</v>
      </c>
      <c r="G89" s="195" t="str">
        <f t="shared" si="0"/>
        <v>-</v>
      </c>
      <c r="H89" s="196" t="str">
        <f t="shared" si="1"/>
        <v>-</v>
      </c>
      <c r="I89" s="198" t="str">
        <f t="shared" si="2"/>
        <v>-</v>
      </c>
      <c r="J89" s="191" t="str">
        <f t="shared" si="3"/>
        <v>-</v>
      </c>
      <c r="K89" s="142" t="str">
        <f t="shared" si="4"/>
        <v>-</v>
      </c>
      <c r="L89" s="192" t="str">
        <f t="shared" si="5"/>
        <v>-</v>
      </c>
      <c r="M89" s="142" t="str">
        <f>IF(J89="-","-",J89*NB_LQ_CR*'Regional data'!C29)</f>
        <v>-</v>
      </c>
      <c r="N89" s="142" t="str">
        <f>IF(K89="-","-",K89*NB_MQ_CR*'Regional data'!D29)</f>
        <v>-</v>
      </c>
      <c r="O89" s="142" t="str">
        <f>IF(L89="-","-",L89*NB_SQ_CR*'Regional data'!E29)</f>
        <v>-</v>
      </c>
      <c r="P89" s="141" t="str">
        <f>IF('Regional data'!L29&gt;0,'Regional data'!L29*Prod_CR*Size_dist_LQ_SG/(NB_LQ_SG*'Regional data'!I29),"-")</f>
        <v>-</v>
      </c>
      <c r="Q89" s="142" t="str">
        <f>IF('Regional data'!M29&gt;0,'Regional data'!M29*Prod_SG*Size_dist_MQ_SG/(NB_MQ_SG*'Regional data'!J29),"-")</f>
        <v>-</v>
      </c>
      <c r="R89" s="142" t="str">
        <f>IF('Regional data'!N29&gt;0,'Regional data'!N29*Prod_SG*Size_dist_SQ_SG/(NB_SQ_SG*'Regional data'!K29),"-")</f>
        <v>-</v>
      </c>
      <c r="S89" s="195" t="str">
        <f t="shared" si="6"/>
        <v>-</v>
      </c>
      <c r="T89" s="196" t="str">
        <f t="shared" si="7"/>
        <v>-</v>
      </c>
      <c r="U89" s="198" t="str">
        <f t="shared" si="8"/>
        <v>-</v>
      </c>
      <c r="V89" s="191" t="str">
        <f t="shared" si="9"/>
        <v>-</v>
      </c>
      <c r="W89" s="142" t="str">
        <f t="shared" si="10"/>
        <v>-</v>
      </c>
      <c r="X89" s="192" t="str">
        <f t="shared" si="11"/>
        <v>-</v>
      </c>
      <c r="Y89" s="191" t="str">
        <f>IF(V89="-","-",V89*NB_LQ_SG*'Regional data'!I29)</f>
        <v>-</v>
      </c>
      <c r="Z89" s="142" t="str">
        <f>IF(W89="-","-",W89*NB_MQ_SG*'Regional data'!J29)</f>
        <v>-</v>
      </c>
      <c r="AA89" s="192" t="str">
        <f>IF(X89="-","-",X89*NB_SQ_SG*'Regional data'!K29)</f>
        <v>-</v>
      </c>
      <c r="AB89" s="141" t="str">
        <f>IF('Regional data'!R29&gt;0,'Regional data'!R29*Prod_RA*Size_dist_LQ_RA/(NB_LQ_RA*'Regional data'!O29),"-")</f>
        <v>-</v>
      </c>
      <c r="AC89" s="142" t="str">
        <f>IF('Regional data'!S29&gt;0,'Regional data'!S29*Prod_RA*Size_dist_MQ_RA/(NB_MQ_RA*'Regional data'!P29),"-")</f>
        <v>-</v>
      </c>
      <c r="AD89" s="142" t="str">
        <f>IF('Regional data'!T29&gt;0,'Regional data'!T29*Prod_RA*Size_dist_SQ_RA/(NB_SQ_RA*'Regional data'!Q29),"-")</f>
        <v>-</v>
      </c>
      <c r="AE89" s="195" t="str">
        <f t="shared" si="12"/>
        <v>-</v>
      </c>
      <c r="AF89" s="196" t="str">
        <f t="shared" si="13"/>
        <v>-</v>
      </c>
      <c r="AG89" s="198" t="str">
        <f t="shared" si="14"/>
        <v>-</v>
      </c>
      <c r="AH89" s="191" t="str">
        <f t="shared" si="15"/>
        <v>-</v>
      </c>
      <c r="AI89" s="142" t="str">
        <f t="shared" si="16"/>
        <v>-</v>
      </c>
      <c r="AJ89" s="192" t="str">
        <f t="shared" si="17"/>
        <v>-</v>
      </c>
      <c r="AK89" s="82" t="str">
        <f>IF(AH89="-","-",AH89*NB_LQ_RA*'Regional data'!O29)</f>
        <v>-</v>
      </c>
      <c r="AL89" s="142" t="str">
        <f>IF(AI89="-","-",AI89*NB_MQ_RA*'Regional data'!P29)</f>
        <v>-</v>
      </c>
      <c r="AM89" s="134" t="str">
        <f>IF(AJ89="-","-",AJ89*NB_SQ_RA*'Regional data'!Q29)</f>
        <v>-</v>
      </c>
    </row>
    <row r="90" spans="2:39" x14ac:dyDescent="0.25">
      <c r="B90" s="80">
        <f>'Regional data'!B30</f>
        <v>0</v>
      </c>
      <c r="C90" s="85">
        <f>Coeff_wind_Erosion_CR*(365*(365-'Regional data'!V30)/235)*('Regional data'!W30/365*100/15)*1000</f>
        <v>0</v>
      </c>
      <c r="D90" s="142" t="str">
        <f>IF('Regional data'!F30&gt;0,'Regional data'!F30*Prod_CR*Size_dist_LQ_CR/(NB_LQ_CR*'Regional data'!C30),"-")</f>
        <v>-</v>
      </c>
      <c r="E90" s="142" t="str">
        <f>IF('Regional data'!G30&gt;0,'Regional data'!G30*Prod_CR*Size_dist_MQ_CR/(NB_MQ_CR*'Regional data'!D30),"-")</f>
        <v>-</v>
      </c>
      <c r="F90" s="142" t="str">
        <f>IF('Regional data'!H30&gt;0,'Regional data'!H30*Prod_CR*Size_dist_SQ_CR/(NB_SQ_CR*'Regional data'!E30),"-")</f>
        <v>-</v>
      </c>
      <c r="G90" s="195" t="str">
        <f t="shared" si="0"/>
        <v>-</v>
      </c>
      <c r="H90" s="196" t="str">
        <f t="shared" si="1"/>
        <v>-</v>
      </c>
      <c r="I90" s="198" t="str">
        <f t="shared" si="2"/>
        <v>-</v>
      </c>
      <c r="J90" s="191" t="str">
        <f t="shared" si="3"/>
        <v>-</v>
      </c>
      <c r="K90" s="142" t="str">
        <f t="shared" si="4"/>
        <v>-</v>
      </c>
      <c r="L90" s="192" t="str">
        <f t="shared" si="5"/>
        <v>-</v>
      </c>
      <c r="M90" s="142" t="str">
        <f>IF(J90="-","-",J90*NB_LQ_CR*'Regional data'!C30)</f>
        <v>-</v>
      </c>
      <c r="N90" s="142" t="str">
        <f>IF(K90="-","-",K90*NB_MQ_CR*'Regional data'!D30)</f>
        <v>-</v>
      </c>
      <c r="O90" s="142" t="str">
        <f>IF(L90="-","-",L90*NB_SQ_CR*'Regional data'!E30)</f>
        <v>-</v>
      </c>
      <c r="P90" s="141" t="str">
        <f>IF('Regional data'!L30&gt;0,'Regional data'!L30*Prod_CR*Size_dist_LQ_SG/(NB_LQ_SG*'Regional data'!I30),"-")</f>
        <v>-</v>
      </c>
      <c r="Q90" s="142" t="str">
        <f>IF('Regional data'!M30&gt;0,'Regional data'!M30*Prod_SG*Size_dist_MQ_SG/(NB_MQ_SG*'Regional data'!J30),"-")</f>
        <v>-</v>
      </c>
      <c r="R90" s="142" t="str">
        <f>IF('Regional data'!N30&gt;0,'Regional data'!N30*Prod_SG*Size_dist_SQ_SG/(NB_SQ_SG*'Regional data'!K30),"-")</f>
        <v>-</v>
      </c>
      <c r="S90" s="195" t="str">
        <f t="shared" si="6"/>
        <v>-</v>
      </c>
      <c r="T90" s="196" t="str">
        <f t="shared" si="7"/>
        <v>-</v>
      </c>
      <c r="U90" s="198" t="str">
        <f t="shared" si="8"/>
        <v>-</v>
      </c>
      <c r="V90" s="191" t="str">
        <f t="shared" si="9"/>
        <v>-</v>
      </c>
      <c r="W90" s="142" t="str">
        <f t="shared" si="10"/>
        <v>-</v>
      </c>
      <c r="X90" s="192" t="str">
        <f t="shared" si="11"/>
        <v>-</v>
      </c>
      <c r="Y90" s="191" t="str">
        <f>IF(V90="-","-",V90*NB_LQ_SG*'Regional data'!I30)</f>
        <v>-</v>
      </c>
      <c r="Z90" s="142" t="str">
        <f>IF(W90="-","-",W90*NB_MQ_SG*'Regional data'!J30)</f>
        <v>-</v>
      </c>
      <c r="AA90" s="192" t="str">
        <f>IF(X90="-","-",X90*NB_SQ_SG*'Regional data'!K30)</f>
        <v>-</v>
      </c>
      <c r="AB90" s="141" t="str">
        <f>IF('Regional data'!R30&gt;0,'Regional data'!R30*Prod_RA*Size_dist_LQ_RA/(NB_LQ_RA*'Regional data'!O30),"-")</f>
        <v>-</v>
      </c>
      <c r="AC90" s="142" t="str">
        <f>IF('Regional data'!S30&gt;0,'Regional data'!S30*Prod_RA*Size_dist_MQ_RA/(NB_MQ_RA*'Regional data'!P30),"-")</f>
        <v>-</v>
      </c>
      <c r="AD90" s="142" t="str">
        <f>IF('Regional data'!T30&gt;0,'Regional data'!T30*Prod_RA*Size_dist_SQ_RA/(NB_SQ_RA*'Regional data'!Q30),"-")</f>
        <v>-</v>
      </c>
      <c r="AE90" s="195" t="str">
        <f t="shared" si="12"/>
        <v>-</v>
      </c>
      <c r="AF90" s="196" t="str">
        <f t="shared" si="13"/>
        <v>-</v>
      </c>
      <c r="AG90" s="198" t="str">
        <f t="shared" si="14"/>
        <v>-</v>
      </c>
      <c r="AH90" s="191" t="str">
        <f t="shared" si="15"/>
        <v>-</v>
      </c>
      <c r="AI90" s="142" t="str">
        <f t="shared" si="16"/>
        <v>-</v>
      </c>
      <c r="AJ90" s="192" t="str">
        <f t="shared" si="17"/>
        <v>-</v>
      </c>
      <c r="AK90" s="82" t="str">
        <f>IF(AH90="-","-",AH90*NB_LQ_RA*'Regional data'!O30)</f>
        <v>-</v>
      </c>
      <c r="AL90" s="142" t="str">
        <f>IF(AI90="-","-",AI90*NB_MQ_RA*'Regional data'!P30)</f>
        <v>-</v>
      </c>
      <c r="AM90" s="134" t="str">
        <f>IF(AJ90="-","-",AJ90*NB_SQ_RA*'Regional data'!Q30)</f>
        <v>-</v>
      </c>
    </row>
    <row r="91" spans="2:39" x14ac:dyDescent="0.25">
      <c r="B91" s="80">
        <f>'Regional data'!B31</f>
        <v>0</v>
      </c>
      <c r="C91" s="85">
        <f>Coeff_wind_Erosion_CR*(365*(365-'Regional data'!V31)/235)*('Regional data'!W31/365*100/15)*1000</f>
        <v>0</v>
      </c>
      <c r="D91" s="142" t="str">
        <f>IF('Regional data'!F31&gt;0,'Regional data'!F31*Prod_CR*Size_dist_LQ_CR/(NB_LQ_CR*'Regional data'!C31),"-")</f>
        <v>-</v>
      </c>
      <c r="E91" s="142" t="str">
        <f>IF('Regional data'!G31&gt;0,'Regional data'!G31*Prod_CR*Size_dist_MQ_CR/(NB_MQ_CR*'Regional data'!D31),"-")</f>
        <v>-</v>
      </c>
      <c r="F91" s="142" t="str">
        <f>IF('Regional data'!H31&gt;0,'Regional data'!H31*Prod_CR*Size_dist_SQ_CR/(NB_SQ_CR*'Regional data'!E31),"-")</f>
        <v>-</v>
      </c>
      <c r="G91" s="195" t="str">
        <f t="shared" si="0"/>
        <v>-</v>
      </c>
      <c r="H91" s="196" t="str">
        <f t="shared" si="1"/>
        <v>-</v>
      </c>
      <c r="I91" s="198" t="str">
        <f t="shared" si="2"/>
        <v>-</v>
      </c>
      <c r="J91" s="191" t="str">
        <f t="shared" si="3"/>
        <v>-</v>
      </c>
      <c r="K91" s="142" t="str">
        <f t="shared" si="4"/>
        <v>-</v>
      </c>
      <c r="L91" s="192" t="str">
        <f t="shared" si="5"/>
        <v>-</v>
      </c>
      <c r="M91" s="142" t="str">
        <f>IF(J91="-","-",J91*NB_LQ_CR*'Regional data'!C31)</f>
        <v>-</v>
      </c>
      <c r="N91" s="142" t="str">
        <f>IF(K91="-","-",K91*NB_MQ_CR*'Regional data'!D31)</f>
        <v>-</v>
      </c>
      <c r="O91" s="142" t="str">
        <f>IF(L91="-","-",L91*NB_SQ_CR*'Regional data'!E31)</f>
        <v>-</v>
      </c>
      <c r="P91" s="141" t="str">
        <f>IF('Regional data'!L31&gt;0,'Regional data'!L31*Prod_CR*Size_dist_LQ_SG/(NB_LQ_SG*'Regional data'!I31),"-")</f>
        <v>-</v>
      </c>
      <c r="Q91" s="142" t="str">
        <f>IF('Regional data'!M31&gt;0,'Regional data'!M31*Prod_SG*Size_dist_MQ_SG/(NB_MQ_SG*'Regional data'!J31),"-")</f>
        <v>-</v>
      </c>
      <c r="R91" s="142" t="str">
        <f>IF('Regional data'!N31&gt;0,'Regional data'!N31*Prod_SG*Size_dist_SQ_SG/(NB_SQ_SG*'Regional data'!K31),"-")</f>
        <v>-</v>
      </c>
      <c r="S91" s="195" t="str">
        <f t="shared" si="6"/>
        <v>-</v>
      </c>
      <c r="T91" s="196" t="str">
        <f t="shared" si="7"/>
        <v>-</v>
      </c>
      <c r="U91" s="198" t="str">
        <f t="shared" si="8"/>
        <v>-</v>
      </c>
      <c r="V91" s="191" t="str">
        <f t="shared" si="9"/>
        <v>-</v>
      </c>
      <c r="W91" s="142" t="str">
        <f t="shared" si="10"/>
        <v>-</v>
      </c>
      <c r="X91" s="192" t="str">
        <f t="shared" si="11"/>
        <v>-</v>
      </c>
      <c r="Y91" s="191" t="str">
        <f>IF(V91="-","-",V91*NB_LQ_SG*'Regional data'!I31)</f>
        <v>-</v>
      </c>
      <c r="Z91" s="142" t="str">
        <f>IF(W91="-","-",W91*NB_MQ_SG*'Regional data'!J31)</f>
        <v>-</v>
      </c>
      <c r="AA91" s="192" t="str">
        <f>IF(X91="-","-",X91*NB_SQ_SG*'Regional data'!K31)</f>
        <v>-</v>
      </c>
      <c r="AB91" s="141" t="str">
        <f>IF('Regional data'!R31&gt;0,'Regional data'!R31*Prod_RA*Size_dist_LQ_RA/(NB_LQ_RA*'Regional data'!O31),"-")</f>
        <v>-</v>
      </c>
      <c r="AC91" s="142" t="str">
        <f>IF('Regional data'!S31&gt;0,'Regional data'!S31*Prod_RA*Size_dist_MQ_RA/(NB_MQ_RA*'Regional data'!P31),"-")</f>
        <v>-</v>
      </c>
      <c r="AD91" s="142" t="str">
        <f>IF('Regional data'!T31&gt;0,'Regional data'!T31*Prod_RA*Size_dist_SQ_RA/(NB_SQ_RA*'Regional data'!Q31),"-")</f>
        <v>-</v>
      </c>
      <c r="AE91" s="195" t="str">
        <f t="shared" si="12"/>
        <v>-</v>
      </c>
      <c r="AF91" s="196" t="str">
        <f t="shared" si="13"/>
        <v>-</v>
      </c>
      <c r="AG91" s="198" t="str">
        <f t="shared" si="14"/>
        <v>-</v>
      </c>
      <c r="AH91" s="191" t="str">
        <f t="shared" si="15"/>
        <v>-</v>
      </c>
      <c r="AI91" s="142" t="str">
        <f t="shared" si="16"/>
        <v>-</v>
      </c>
      <c r="AJ91" s="192" t="str">
        <f t="shared" si="17"/>
        <v>-</v>
      </c>
      <c r="AK91" s="82" t="str">
        <f>IF(AH91="-","-",AH91*NB_LQ_RA*'Regional data'!O31)</f>
        <v>-</v>
      </c>
      <c r="AL91" s="142" t="str">
        <f>IF(AI91="-","-",AI91*NB_MQ_RA*'Regional data'!P31)</f>
        <v>-</v>
      </c>
      <c r="AM91" s="134" t="str">
        <f>IF(AJ91="-","-",AJ91*NB_SQ_RA*'Regional data'!Q31)</f>
        <v>-</v>
      </c>
    </row>
    <row r="92" spans="2:39" x14ac:dyDescent="0.25">
      <c r="B92" s="80">
        <f>'Regional data'!B32</f>
        <v>0</v>
      </c>
      <c r="C92" s="85">
        <f>Coeff_wind_Erosion_CR*(365*(365-'Regional data'!V32)/235)*('Regional data'!W32/365*100/15)*1000</f>
        <v>0</v>
      </c>
      <c r="D92" s="142" t="str">
        <f>IF('Regional data'!F32&gt;0,'Regional data'!F32*Prod_CR*Size_dist_LQ_CR/(NB_LQ_CR*'Regional data'!C32),"-")</f>
        <v>-</v>
      </c>
      <c r="E92" s="142" t="str">
        <f>IF('Regional data'!G32&gt;0,'Regional data'!G32*Prod_CR*Size_dist_MQ_CR/(NB_MQ_CR*'Regional data'!D32),"-")</f>
        <v>-</v>
      </c>
      <c r="F92" s="142" t="str">
        <f>IF('Regional data'!H32&gt;0,'Regional data'!H32*Prod_CR*Size_dist_SQ_CR/(NB_SQ_CR*'Regional data'!E32),"-")</f>
        <v>-</v>
      </c>
      <c r="G92" s="195" t="str">
        <f t="shared" si="0"/>
        <v>-</v>
      </c>
      <c r="H92" s="196" t="str">
        <f t="shared" si="1"/>
        <v>-</v>
      </c>
      <c r="I92" s="198" t="str">
        <f t="shared" si="2"/>
        <v>-</v>
      </c>
      <c r="J92" s="191" t="str">
        <f t="shared" si="3"/>
        <v>-</v>
      </c>
      <c r="K92" s="142" t="str">
        <f t="shared" si="4"/>
        <v>-</v>
      </c>
      <c r="L92" s="192" t="str">
        <f t="shared" si="5"/>
        <v>-</v>
      </c>
      <c r="M92" s="142" t="str">
        <f>IF(J92="-","-",J92*NB_LQ_CR*'Regional data'!C32)</f>
        <v>-</v>
      </c>
      <c r="N92" s="142" t="str">
        <f>IF(K92="-","-",K92*NB_MQ_CR*'Regional data'!D32)</f>
        <v>-</v>
      </c>
      <c r="O92" s="142" t="str">
        <f>IF(L92="-","-",L92*NB_SQ_CR*'Regional data'!E32)</f>
        <v>-</v>
      </c>
      <c r="P92" s="141" t="str">
        <f>IF('Regional data'!L32&gt;0,'Regional data'!L32*Prod_CR*Size_dist_LQ_SG/(NB_LQ_SG*'Regional data'!I32),"-")</f>
        <v>-</v>
      </c>
      <c r="Q92" s="142" t="str">
        <f>IF('Regional data'!M32&gt;0,'Regional data'!M32*Prod_SG*Size_dist_MQ_SG/(NB_MQ_SG*'Regional data'!J32),"-")</f>
        <v>-</v>
      </c>
      <c r="R92" s="142" t="str">
        <f>IF('Regional data'!N32&gt;0,'Regional data'!N32*Prod_SG*Size_dist_SQ_SG/(NB_SQ_SG*'Regional data'!K32),"-")</f>
        <v>-</v>
      </c>
      <c r="S92" s="195" t="str">
        <f t="shared" si="6"/>
        <v>-</v>
      </c>
      <c r="T92" s="196" t="str">
        <f t="shared" si="7"/>
        <v>-</v>
      </c>
      <c r="U92" s="198" t="str">
        <f t="shared" si="8"/>
        <v>-</v>
      </c>
      <c r="V92" s="191" t="str">
        <f t="shared" si="9"/>
        <v>-</v>
      </c>
      <c r="W92" s="142" t="str">
        <f t="shared" si="10"/>
        <v>-</v>
      </c>
      <c r="X92" s="192" t="str">
        <f t="shared" si="11"/>
        <v>-</v>
      </c>
      <c r="Y92" s="191" t="str">
        <f>IF(V92="-","-",V92*NB_LQ_SG*'Regional data'!I32)</f>
        <v>-</v>
      </c>
      <c r="Z92" s="142" t="str">
        <f>IF(W92="-","-",W92*NB_MQ_SG*'Regional data'!J32)</f>
        <v>-</v>
      </c>
      <c r="AA92" s="192" t="str">
        <f>IF(X92="-","-",X92*NB_SQ_SG*'Regional data'!K32)</f>
        <v>-</v>
      </c>
      <c r="AB92" s="141" t="str">
        <f>IF('Regional data'!R32&gt;0,'Regional data'!R32*Prod_RA*Size_dist_LQ_RA/(NB_LQ_RA*'Regional data'!O32),"-")</f>
        <v>-</v>
      </c>
      <c r="AC92" s="142" t="str">
        <f>IF('Regional data'!S32&gt;0,'Regional data'!S32*Prod_RA*Size_dist_MQ_RA/(NB_MQ_RA*'Regional data'!P32),"-")</f>
        <v>-</v>
      </c>
      <c r="AD92" s="142" t="str">
        <f>IF('Regional data'!T32&gt;0,'Regional data'!T32*Prod_RA*Size_dist_SQ_RA/(NB_SQ_RA*'Regional data'!Q32),"-")</f>
        <v>-</v>
      </c>
      <c r="AE92" s="195" t="str">
        <f t="shared" si="12"/>
        <v>-</v>
      </c>
      <c r="AF92" s="196" t="str">
        <f t="shared" si="13"/>
        <v>-</v>
      </c>
      <c r="AG92" s="198" t="str">
        <f t="shared" si="14"/>
        <v>-</v>
      </c>
      <c r="AH92" s="191" t="str">
        <f t="shared" si="15"/>
        <v>-</v>
      </c>
      <c r="AI92" s="142" t="str">
        <f t="shared" si="16"/>
        <v>-</v>
      </c>
      <c r="AJ92" s="192" t="str">
        <f t="shared" si="17"/>
        <v>-</v>
      </c>
      <c r="AK92" s="82" t="str">
        <f>IF(AH92="-","-",AH92*NB_LQ_RA*'Regional data'!O32)</f>
        <v>-</v>
      </c>
      <c r="AL92" s="142" t="str">
        <f>IF(AI92="-","-",AI92*NB_MQ_RA*'Regional data'!P32)</f>
        <v>-</v>
      </c>
      <c r="AM92" s="134" t="str">
        <f>IF(AJ92="-","-",AJ92*NB_SQ_RA*'Regional data'!Q32)</f>
        <v>-</v>
      </c>
    </row>
    <row r="93" spans="2:39" x14ac:dyDescent="0.25">
      <c r="B93" s="80">
        <f>'Regional data'!B33</f>
        <v>0</v>
      </c>
      <c r="C93" s="85">
        <f>Coeff_wind_Erosion_CR*(365*(365-'Regional data'!V33)/235)*('Regional data'!W33/365*100/15)*1000</f>
        <v>0</v>
      </c>
      <c r="D93" s="142" t="str">
        <f>IF('Regional data'!F33&gt;0,'Regional data'!F33*Prod_CR*Size_dist_LQ_CR/(NB_LQ_CR*'Regional data'!C33),"-")</f>
        <v>-</v>
      </c>
      <c r="E93" s="142" t="str">
        <f>IF('Regional data'!G33&gt;0,'Regional data'!G33*Prod_CR*Size_dist_MQ_CR/(NB_MQ_CR*'Regional data'!D33),"-")</f>
        <v>-</v>
      </c>
      <c r="F93" s="142" t="str">
        <f>IF('Regional data'!H33&gt;0,'Regional data'!H33*Prod_CR*Size_dist_SQ_CR/(NB_SQ_CR*'Regional data'!E33),"-")</f>
        <v>-</v>
      </c>
      <c r="G93" s="195" t="str">
        <f t="shared" si="0"/>
        <v>-</v>
      </c>
      <c r="H93" s="196" t="str">
        <f t="shared" si="1"/>
        <v>-</v>
      </c>
      <c r="I93" s="198" t="str">
        <f t="shared" si="2"/>
        <v>-</v>
      </c>
      <c r="J93" s="191" t="str">
        <f t="shared" si="3"/>
        <v>-</v>
      </c>
      <c r="K93" s="142" t="str">
        <f t="shared" si="4"/>
        <v>-</v>
      </c>
      <c r="L93" s="192" t="str">
        <f t="shared" si="5"/>
        <v>-</v>
      </c>
      <c r="M93" s="142" t="str">
        <f>IF(J93="-","-",J93*NB_LQ_CR*'Regional data'!C33)</f>
        <v>-</v>
      </c>
      <c r="N93" s="142" t="str">
        <f>IF(K93="-","-",K93*NB_MQ_CR*'Regional data'!D33)</f>
        <v>-</v>
      </c>
      <c r="O93" s="142" t="str">
        <f>IF(L93="-","-",L93*NB_SQ_CR*'Regional data'!E33)</f>
        <v>-</v>
      </c>
      <c r="P93" s="141" t="str">
        <f>IF('Regional data'!L33&gt;0,'Regional data'!L33*Prod_CR*Size_dist_LQ_SG/(NB_LQ_SG*'Regional data'!I33),"-")</f>
        <v>-</v>
      </c>
      <c r="Q93" s="142" t="str">
        <f>IF('Regional data'!M33&gt;0,'Regional data'!M33*Prod_SG*Size_dist_MQ_SG/(NB_MQ_SG*'Regional data'!J33),"-")</f>
        <v>-</v>
      </c>
      <c r="R93" s="142" t="str">
        <f>IF('Regional data'!N33&gt;0,'Regional data'!N33*Prod_SG*Size_dist_SQ_SG/(NB_SQ_SG*'Regional data'!K33),"-")</f>
        <v>-</v>
      </c>
      <c r="S93" s="195" t="str">
        <f t="shared" si="6"/>
        <v>-</v>
      </c>
      <c r="T93" s="196" t="str">
        <f t="shared" si="7"/>
        <v>-</v>
      </c>
      <c r="U93" s="198" t="str">
        <f t="shared" si="8"/>
        <v>-</v>
      </c>
      <c r="V93" s="191" t="str">
        <f t="shared" si="9"/>
        <v>-</v>
      </c>
      <c r="W93" s="142" t="str">
        <f t="shared" si="10"/>
        <v>-</v>
      </c>
      <c r="X93" s="192" t="str">
        <f t="shared" si="11"/>
        <v>-</v>
      </c>
      <c r="Y93" s="191" t="str">
        <f>IF(V93="-","-",V93*NB_LQ_SG*'Regional data'!I33)</f>
        <v>-</v>
      </c>
      <c r="Z93" s="142" t="str">
        <f>IF(W93="-","-",W93*NB_MQ_SG*'Regional data'!J33)</f>
        <v>-</v>
      </c>
      <c r="AA93" s="192" t="str">
        <f>IF(X93="-","-",X93*NB_SQ_SG*'Regional data'!K33)</f>
        <v>-</v>
      </c>
      <c r="AB93" s="141" t="str">
        <f>IF('Regional data'!R33&gt;0,'Regional data'!R33*Prod_RA*Size_dist_LQ_RA/(NB_LQ_RA*'Regional data'!O33),"-")</f>
        <v>-</v>
      </c>
      <c r="AC93" s="142" t="str">
        <f>IF('Regional data'!S33&gt;0,'Regional data'!S33*Prod_RA*Size_dist_MQ_RA/(NB_MQ_RA*'Regional data'!P33),"-")</f>
        <v>-</v>
      </c>
      <c r="AD93" s="142" t="str">
        <f>IF('Regional data'!T33&gt;0,'Regional data'!T33*Prod_RA*Size_dist_SQ_RA/(NB_SQ_RA*'Regional data'!Q33),"-")</f>
        <v>-</v>
      </c>
      <c r="AE93" s="195" t="str">
        <f t="shared" si="12"/>
        <v>-</v>
      </c>
      <c r="AF93" s="196" t="str">
        <f t="shared" si="13"/>
        <v>-</v>
      </c>
      <c r="AG93" s="198" t="str">
        <f t="shared" si="14"/>
        <v>-</v>
      </c>
      <c r="AH93" s="191" t="str">
        <f t="shared" si="15"/>
        <v>-</v>
      </c>
      <c r="AI93" s="142" t="str">
        <f t="shared" si="16"/>
        <v>-</v>
      </c>
      <c r="AJ93" s="192" t="str">
        <f t="shared" si="17"/>
        <v>-</v>
      </c>
      <c r="AK93" s="82" t="str">
        <f>IF(AH93="-","-",AH93*NB_LQ_RA*'Regional data'!O33)</f>
        <v>-</v>
      </c>
      <c r="AL93" s="142" t="str">
        <f>IF(AI93="-","-",AI93*NB_MQ_RA*'Regional data'!P33)</f>
        <v>-</v>
      </c>
      <c r="AM93" s="134" t="str">
        <f>IF(AJ93="-","-",AJ93*NB_SQ_RA*'Regional data'!Q33)</f>
        <v>-</v>
      </c>
    </row>
    <row r="94" spans="2:39" x14ac:dyDescent="0.25">
      <c r="B94" s="80">
        <f>'Regional data'!B34</f>
        <v>0</v>
      </c>
      <c r="C94" s="85">
        <f>Coeff_wind_Erosion_CR*(365*(365-'Regional data'!V34)/235)*('Regional data'!W34/365*100/15)*1000</f>
        <v>0</v>
      </c>
      <c r="D94" s="142" t="str">
        <f>IF('Regional data'!F34&gt;0,'Regional data'!F34*Prod_CR*Size_dist_LQ_CR/(NB_LQ_CR*'Regional data'!C34),"-")</f>
        <v>-</v>
      </c>
      <c r="E94" s="142" t="str">
        <f>IF('Regional data'!G34&gt;0,'Regional data'!G34*Prod_CR*Size_dist_MQ_CR/(NB_MQ_CR*'Regional data'!D34),"-")</f>
        <v>-</v>
      </c>
      <c r="F94" s="142" t="str">
        <f>IF('Regional data'!H34&gt;0,'Regional data'!H34*Prod_CR*Size_dist_SQ_CR/(NB_SQ_CR*'Regional data'!E34),"-")</f>
        <v>-</v>
      </c>
      <c r="G94" s="195" t="str">
        <f t="shared" si="0"/>
        <v>-</v>
      </c>
      <c r="H94" s="196" t="str">
        <f t="shared" si="1"/>
        <v>-</v>
      </c>
      <c r="I94" s="198" t="str">
        <f t="shared" si="2"/>
        <v>-</v>
      </c>
      <c r="J94" s="191" t="str">
        <f t="shared" si="3"/>
        <v>-</v>
      </c>
      <c r="K94" s="142" t="str">
        <f t="shared" si="4"/>
        <v>-</v>
      </c>
      <c r="L94" s="192" t="str">
        <f t="shared" si="5"/>
        <v>-</v>
      </c>
      <c r="M94" s="142" t="str">
        <f>IF(J94="-","-",J94*NB_LQ_CR*'Regional data'!C34)</f>
        <v>-</v>
      </c>
      <c r="N94" s="142" t="str">
        <f>IF(K94="-","-",K94*NB_MQ_CR*'Regional data'!D34)</f>
        <v>-</v>
      </c>
      <c r="O94" s="142" t="str">
        <f>IF(L94="-","-",L94*NB_SQ_CR*'Regional data'!E34)</f>
        <v>-</v>
      </c>
      <c r="P94" s="141" t="str">
        <f>IF('Regional data'!L34&gt;0,'Regional data'!L34*Prod_CR*Size_dist_LQ_SG/(NB_LQ_SG*'Regional data'!I34),"-")</f>
        <v>-</v>
      </c>
      <c r="Q94" s="142" t="str">
        <f>IF('Regional data'!M34&gt;0,'Regional data'!M34*Prod_SG*Size_dist_MQ_SG/(NB_MQ_SG*'Regional data'!J34),"-")</f>
        <v>-</v>
      </c>
      <c r="R94" s="142" t="str">
        <f>IF('Regional data'!N34&gt;0,'Regional data'!N34*Prod_SG*Size_dist_SQ_SG/(NB_SQ_SG*'Regional data'!K34),"-")</f>
        <v>-</v>
      </c>
      <c r="S94" s="195" t="str">
        <f t="shared" si="6"/>
        <v>-</v>
      </c>
      <c r="T94" s="196" t="str">
        <f t="shared" si="7"/>
        <v>-</v>
      </c>
      <c r="U94" s="198" t="str">
        <f t="shared" si="8"/>
        <v>-</v>
      </c>
      <c r="V94" s="191" t="str">
        <f t="shared" si="9"/>
        <v>-</v>
      </c>
      <c r="W94" s="142" t="str">
        <f t="shared" si="10"/>
        <v>-</v>
      </c>
      <c r="X94" s="192" t="str">
        <f t="shared" si="11"/>
        <v>-</v>
      </c>
      <c r="Y94" s="191" t="str">
        <f>IF(V94="-","-",V94*NB_LQ_SG*'Regional data'!I34)</f>
        <v>-</v>
      </c>
      <c r="Z94" s="142" t="str">
        <f>IF(W94="-","-",W94*NB_MQ_SG*'Regional data'!J34)</f>
        <v>-</v>
      </c>
      <c r="AA94" s="192" t="str">
        <f>IF(X94="-","-",X94*NB_SQ_SG*'Regional data'!K34)</f>
        <v>-</v>
      </c>
      <c r="AB94" s="141" t="str">
        <f>IF('Regional data'!R34&gt;0,'Regional data'!R34*Prod_RA*Size_dist_LQ_RA/(NB_LQ_RA*'Regional data'!O34),"-")</f>
        <v>-</v>
      </c>
      <c r="AC94" s="142" t="str">
        <f>IF('Regional data'!S34&gt;0,'Regional data'!S34*Prod_RA*Size_dist_MQ_RA/(NB_MQ_RA*'Regional data'!P34),"-")</f>
        <v>-</v>
      </c>
      <c r="AD94" s="142" t="str">
        <f>IF('Regional data'!T34&gt;0,'Regional data'!T34*Prod_RA*Size_dist_SQ_RA/(NB_SQ_RA*'Regional data'!Q34),"-")</f>
        <v>-</v>
      </c>
      <c r="AE94" s="195" t="str">
        <f t="shared" si="12"/>
        <v>-</v>
      </c>
      <c r="AF94" s="196" t="str">
        <f t="shared" si="13"/>
        <v>-</v>
      </c>
      <c r="AG94" s="198" t="str">
        <f t="shared" si="14"/>
        <v>-</v>
      </c>
      <c r="AH94" s="191" t="str">
        <f t="shared" si="15"/>
        <v>-</v>
      </c>
      <c r="AI94" s="142" t="str">
        <f t="shared" si="16"/>
        <v>-</v>
      </c>
      <c r="AJ94" s="192" t="str">
        <f t="shared" si="17"/>
        <v>-</v>
      </c>
      <c r="AK94" s="82" t="str">
        <f>IF(AH94="-","-",AH94*NB_LQ_RA*'Regional data'!O34)</f>
        <v>-</v>
      </c>
      <c r="AL94" s="142" t="str">
        <f>IF(AI94="-","-",AI94*NB_MQ_RA*'Regional data'!P34)</f>
        <v>-</v>
      </c>
      <c r="AM94" s="134" t="str">
        <f>IF(AJ94="-","-",AJ94*NB_SQ_RA*'Regional data'!Q34)</f>
        <v>-</v>
      </c>
    </row>
    <row r="95" spans="2:39" x14ac:dyDescent="0.25">
      <c r="B95" s="80">
        <f>'Regional data'!B35</f>
        <v>0</v>
      </c>
      <c r="C95" s="85">
        <f>Coeff_wind_Erosion_CR*(365*(365-'Regional data'!V35)/235)*('Regional data'!W35/365*100/15)*1000</f>
        <v>0</v>
      </c>
      <c r="D95" s="142" t="str">
        <f>IF('Regional data'!F35&gt;0,'Regional data'!F35*Prod_CR*Size_dist_LQ_CR/(NB_LQ_CR*'Regional data'!C35),"-")</f>
        <v>-</v>
      </c>
      <c r="E95" s="142" t="str">
        <f>IF('Regional data'!G35&gt;0,'Regional data'!G35*Prod_CR*Size_dist_MQ_CR/(NB_MQ_CR*'Regional data'!D35),"-")</f>
        <v>-</v>
      </c>
      <c r="F95" s="142" t="str">
        <f>IF('Regional data'!H35&gt;0,'Regional data'!H35*Prod_CR*Size_dist_SQ_CR/(NB_SQ_CR*'Regional data'!E35),"-")</f>
        <v>-</v>
      </c>
      <c r="G95" s="195" t="str">
        <f t="shared" ref="G95:G126" si="18">IF(D95="-","-",D95*1000/Density_stockpiles_CR/Stockpile_V_LQ_CR*Weeks_stored_LQ_CR/52)</f>
        <v>-</v>
      </c>
      <c r="H95" s="196" t="str">
        <f t="shared" ref="H95:H126" si="19">IF(E95="-","-",E95*1000/Density_stockpiles_CR/Stockpile_V_MQ_CR*Weeks_stored_MQ_CR/52)</f>
        <v>-</v>
      </c>
      <c r="I95" s="198" t="str">
        <f t="shared" ref="I95:I126" si="20">IF(F95="-","-",F95*1000/Density_stockpiles_CR/Stockpile_V_SQ_CR*Weeks_stored_SQ_CR/52)</f>
        <v>-</v>
      </c>
      <c r="J95" s="191" t="str">
        <f t="shared" ref="J95:J126" si="21">IF(G95="-","-",(ROUNDDOWN(G95,0)+(G95-ROUNDDOWN(G95,0))^(2/3))*Std_Surf_LQ_CR)</f>
        <v>-</v>
      </c>
      <c r="K95" s="142" t="str">
        <f t="shared" ref="K95:K126" si="22">IF(H95="-","-",(ROUNDDOWN(H95,0)+(H95-ROUNDDOWN(H95,0))^(2/3))*Std_Surf_MQ_CR)</f>
        <v>-</v>
      </c>
      <c r="L95" s="192" t="str">
        <f t="shared" ref="L95:L126" si="23">IF(I95="-","-",(ROUNDDOWN(I95,0)+(I95-ROUNDDOWN(I95,0))^(2/3))*Std_Surf_SQ_CR)</f>
        <v>-</v>
      </c>
      <c r="M95" s="142" t="str">
        <f>IF(J95="-","-",J95*NB_LQ_CR*'Regional data'!C35)</f>
        <v>-</v>
      </c>
      <c r="N95" s="142" t="str">
        <f>IF(K95="-","-",K95*NB_MQ_CR*'Regional data'!D35)</f>
        <v>-</v>
      </c>
      <c r="O95" s="142" t="str">
        <f>IF(L95="-","-",L95*NB_SQ_CR*'Regional data'!E35)</f>
        <v>-</v>
      </c>
      <c r="P95" s="141" t="str">
        <f>IF('Regional data'!L35&gt;0,'Regional data'!L35*Prod_CR*Size_dist_LQ_SG/(NB_LQ_SG*'Regional data'!I35),"-")</f>
        <v>-</v>
      </c>
      <c r="Q95" s="142" t="str">
        <f>IF('Regional data'!M35&gt;0,'Regional data'!M35*Prod_SG*Size_dist_MQ_SG/(NB_MQ_SG*'Regional data'!J35),"-")</f>
        <v>-</v>
      </c>
      <c r="R95" s="142" t="str">
        <f>IF('Regional data'!N35&gt;0,'Regional data'!N35*Prod_SG*Size_dist_SQ_SG/(NB_SQ_SG*'Regional data'!K35),"-")</f>
        <v>-</v>
      </c>
      <c r="S95" s="195" t="str">
        <f t="shared" ref="S95:S126" si="24">IF(P95="-","-",P95*1000/Density_stockpiles_SG/Stockpile_V_LQ_SG*Weeks_stored_LQ_SG/52)</f>
        <v>-</v>
      </c>
      <c r="T95" s="196" t="str">
        <f t="shared" ref="T95:T126" si="25">IF(Q95="-","-",Q95*1000/Density_stockpiles_SG/Stockpile_V_MQ_SG*Weeks_stored_MQ_SG/52)</f>
        <v>-</v>
      </c>
      <c r="U95" s="198" t="str">
        <f t="shared" ref="U95:U126" si="26">IF(R95="-","-",R95*1000/Density_stockpiles_SG/Stockpile_V_SQ_SG*Weeks_stored_SQ_SG/52)</f>
        <v>-</v>
      </c>
      <c r="V95" s="191" t="str">
        <f t="shared" ref="V95:V126" si="27">IF(S95="-","-",(ROUNDDOWN(S95,0)+(S95-ROUNDDOWN(S95,0))^(2/3))*Std_Surf_LQ_SG)</f>
        <v>-</v>
      </c>
      <c r="W95" s="142" t="str">
        <f t="shared" ref="W95:W126" si="28">IF(T95="-","-",(ROUNDDOWN(T95,0)+(T95-ROUNDDOWN(T95,0))^(2/3))*Std_Surf_MQ_SG)</f>
        <v>-</v>
      </c>
      <c r="X95" s="192" t="str">
        <f t="shared" ref="X95:X126" si="29">IF(U95="-","-",(ROUNDDOWN(U95,0)+(U95-ROUNDDOWN(U95,0))^(2/3))*Std_Surf_SQ_SG)</f>
        <v>-</v>
      </c>
      <c r="Y95" s="191" t="str">
        <f>IF(V95="-","-",V95*NB_LQ_SG*'Regional data'!I35)</f>
        <v>-</v>
      </c>
      <c r="Z95" s="142" t="str">
        <f>IF(W95="-","-",W95*NB_MQ_SG*'Regional data'!J35)</f>
        <v>-</v>
      </c>
      <c r="AA95" s="192" t="str">
        <f>IF(X95="-","-",X95*NB_SQ_SG*'Regional data'!K35)</f>
        <v>-</v>
      </c>
      <c r="AB95" s="141" t="str">
        <f>IF('Regional data'!R35&gt;0,'Regional data'!R35*Prod_RA*Size_dist_LQ_RA/(NB_LQ_RA*'Regional data'!O35),"-")</f>
        <v>-</v>
      </c>
      <c r="AC95" s="142" t="str">
        <f>IF('Regional data'!S35&gt;0,'Regional data'!S35*Prod_RA*Size_dist_MQ_RA/(NB_MQ_RA*'Regional data'!P35),"-")</f>
        <v>-</v>
      </c>
      <c r="AD95" s="142" t="str">
        <f>IF('Regional data'!T35&gt;0,'Regional data'!T35*Prod_RA*Size_dist_SQ_RA/(NB_SQ_RA*'Regional data'!Q35),"-")</f>
        <v>-</v>
      </c>
      <c r="AE95" s="195" t="str">
        <f t="shared" ref="AE95:AE126" si="30">IF(AB95="-","-",AB95*1000/Density_stockpiles_CR/Stockpile_V_LQ_CR*Weeks_stored_LQ_CR/52)</f>
        <v>-</v>
      </c>
      <c r="AF95" s="196" t="str">
        <f t="shared" ref="AF95:AF126" si="31">IF(AC95="-","-",AC95*1000/Density_stockpiles_CR/Stockpile_V_MQ_CR*Weeks_stored_MQ_CR/52)</f>
        <v>-</v>
      </c>
      <c r="AG95" s="198" t="str">
        <f t="shared" ref="AG95:AG126" si="32">IF(AD95="-","-",AD95*1000/Density_stockpiles_CR/Stockpile_V_SQ_CR*Weeks_stored_SQ_CR/52)</f>
        <v>-</v>
      </c>
      <c r="AH95" s="191" t="str">
        <f t="shared" ref="AH95:AH126" si="33">IF(AE95="-","-",(ROUNDDOWN(AE95,0)+(AE95-ROUNDDOWN(AE95,0))^(2/3))*Std_Surf_LQ_CR)</f>
        <v>-</v>
      </c>
      <c r="AI95" s="142" t="str">
        <f t="shared" ref="AI95:AI126" si="34">IF(AF95="-","-",(ROUNDDOWN(AF95,0)+(AF95-ROUNDDOWN(AF95,0))^(2/3))*Std_Surf_MQ_CR)</f>
        <v>-</v>
      </c>
      <c r="AJ95" s="192" t="str">
        <f t="shared" ref="AJ95:AJ126" si="35">IF(AG95="-","-",(ROUNDDOWN(AG95,0)+(AG95-ROUNDDOWN(AG95,0))^(2/3))*Std_Surf_SQ_CR)</f>
        <v>-</v>
      </c>
      <c r="AK95" s="82" t="str">
        <f>IF(AH95="-","-",AH95*NB_LQ_RA*'Regional data'!O35)</f>
        <v>-</v>
      </c>
      <c r="AL95" s="142" t="str">
        <f>IF(AI95="-","-",AI95*NB_MQ_RA*'Regional data'!P35)</f>
        <v>-</v>
      </c>
      <c r="AM95" s="134" t="str">
        <f>IF(AJ95="-","-",AJ95*NB_SQ_RA*'Regional data'!Q35)</f>
        <v>-</v>
      </c>
    </row>
    <row r="96" spans="2:39" x14ac:dyDescent="0.25">
      <c r="B96" s="80">
        <f>'Regional data'!B36</f>
        <v>0</v>
      </c>
      <c r="C96" s="85">
        <f>Coeff_wind_Erosion_CR*(365*(365-'Regional data'!V36)/235)*('Regional data'!W36/365*100/15)*1000</f>
        <v>0</v>
      </c>
      <c r="D96" s="142" t="str">
        <f>IF('Regional data'!F36&gt;0,'Regional data'!F36*Prod_CR*Size_dist_LQ_CR/(NB_LQ_CR*'Regional data'!C36),"-")</f>
        <v>-</v>
      </c>
      <c r="E96" s="142" t="str">
        <f>IF('Regional data'!G36&gt;0,'Regional data'!G36*Prod_CR*Size_dist_MQ_CR/(NB_MQ_CR*'Regional data'!D36),"-")</f>
        <v>-</v>
      </c>
      <c r="F96" s="142" t="str">
        <f>IF('Regional data'!H36&gt;0,'Regional data'!H36*Prod_CR*Size_dist_SQ_CR/(NB_SQ_CR*'Regional data'!E36),"-")</f>
        <v>-</v>
      </c>
      <c r="G96" s="195" t="str">
        <f t="shared" si="18"/>
        <v>-</v>
      </c>
      <c r="H96" s="196" t="str">
        <f t="shared" si="19"/>
        <v>-</v>
      </c>
      <c r="I96" s="198" t="str">
        <f t="shared" si="20"/>
        <v>-</v>
      </c>
      <c r="J96" s="191" t="str">
        <f t="shared" si="21"/>
        <v>-</v>
      </c>
      <c r="K96" s="142" t="str">
        <f t="shared" si="22"/>
        <v>-</v>
      </c>
      <c r="L96" s="192" t="str">
        <f t="shared" si="23"/>
        <v>-</v>
      </c>
      <c r="M96" s="142" t="str">
        <f>IF(J96="-","-",J96*NB_LQ_CR*'Regional data'!C36)</f>
        <v>-</v>
      </c>
      <c r="N96" s="142" t="str">
        <f>IF(K96="-","-",K96*NB_MQ_CR*'Regional data'!D36)</f>
        <v>-</v>
      </c>
      <c r="O96" s="142" t="str">
        <f>IF(L96="-","-",L96*NB_SQ_CR*'Regional data'!E36)</f>
        <v>-</v>
      </c>
      <c r="P96" s="141" t="str">
        <f>IF('Regional data'!L36&gt;0,'Regional data'!L36*Prod_CR*Size_dist_LQ_SG/(NB_LQ_SG*'Regional data'!I36),"-")</f>
        <v>-</v>
      </c>
      <c r="Q96" s="142" t="str">
        <f>IF('Regional data'!M36&gt;0,'Regional data'!M36*Prod_SG*Size_dist_MQ_SG/(NB_MQ_SG*'Regional data'!J36),"-")</f>
        <v>-</v>
      </c>
      <c r="R96" s="142" t="str">
        <f>IF('Regional data'!N36&gt;0,'Regional data'!N36*Prod_SG*Size_dist_SQ_SG/(NB_SQ_SG*'Regional data'!K36),"-")</f>
        <v>-</v>
      </c>
      <c r="S96" s="195" t="str">
        <f t="shared" si="24"/>
        <v>-</v>
      </c>
      <c r="T96" s="196" t="str">
        <f t="shared" si="25"/>
        <v>-</v>
      </c>
      <c r="U96" s="198" t="str">
        <f t="shared" si="26"/>
        <v>-</v>
      </c>
      <c r="V96" s="191" t="str">
        <f t="shared" si="27"/>
        <v>-</v>
      </c>
      <c r="W96" s="142" t="str">
        <f t="shared" si="28"/>
        <v>-</v>
      </c>
      <c r="X96" s="192" t="str">
        <f t="shared" si="29"/>
        <v>-</v>
      </c>
      <c r="Y96" s="191" t="str">
        <f>IF(V96="-","-",V96*NB_LQ_SG*'Regional data'!I36)</f>
        <v>-</v>
      </c>
      <c r="Z96" s="142" t="str">
        <f>IF(W96="-","-",W96*NB_MQ_SG*'Regional data'!J36)</f>
        <v>-</v>
      </c>
      <c r="AA96" s="192" t="str">
        <f>IF(X96="-","-",X96*NB_SQ_SG*'Regional data'!K36)</f>
        <v>-</v>
      </c>
      <c r="AB96" s="141" t="str">
        <f>IF('Regional data'!R36&gt;0,'Regional data'!R36*Prod_RA*Size_dist_LQ_RA/(NB_LQ_RA*'Regional data'!O36),"-")</f>
        <v>-</v>
      </c>
      <c r="AC96" s="142" t="str">
        <f>IF('Regional data'!S36&gt;0,'Regional data'!S36*Prod_RA*Size_dist_MQ_RA/(NB_MQ_RA*'Regional data'!P36),"-")</f>
        <v>-</v>
      </c>
      <c r="AD96" s="142" t="str">
        <f>IF('Regional data'!T36&gt;0,'Regional data'!T36*Prod_RA*Size_dist_SQ_RA/(NB_SQ_RA*'Regional data'!Q36),"-")</f>
        <v>-</v>
      </c>
      <c r="AE96" s="195" t="str">
        <f t="shared" si="30"/>
        <v>-</v>
      </c>
      <c r="AF96" s="196" t="str">
        <f t="shared" si="31"/>
        <v>-</v>
      </c>
      <c r="AG96" s="198" t="str">
        <f t="shared" si="32"/>
        <v>-</v>
      </c>
      <c r="AH96" s="191" t="str">
        <f t="shared" si="33"/>
        <v>-</v>
      </c>
      <c r="AI96" s="142" t="str">
        <f t="shared" si="34"/>
        <v>-</v>
      </c>
      <c r="AJ96" s="192" t="str">
        <f t="shared" si="35"/>
        <v>-</v>
      </c>
      <c r="AK96" s="82" t="str">
        <f>IF(AH96="-","-",AH96*NB_LQ_RA*'Regional data'!O36)</f>
        <v>-</v>
      </c>
      <c r="AL96" s="142" t="str">
        <f>IF(AI96="-","-",AI96*NB_MQ_RA*'Regional data'!P36)</f>
        <v>-</v>
      </c>
      <c r="AM96" s="134" t="str">
        <f>IF(AJ96="-","-",AJ96*NB_SQ_RA*'Regional data'!Q36)</f>
        <v>-</v>
      </c>
    </row>
    <row r="97" spans="2:39" x14ac:dyDescent="0.25">
      <c r="B97" s="80">
        <f>'Regional data'!B37</f>
        <v>0</v>
      </c>
      <c r="C97" s="85">
        <f>Coeff_wind_Erosion_CR*(365*(365-'Regional data'!V37)/235)*('Regional data'!W37/365*100/15)*1000</f>
        <v>0</v>
      </c>
      <c r="D97" s="142" t="str">
        <f>IF('Regional data'!F37&gt;0,'Regional data'!F37*Prod_CR*Size_dist_LQ_CR/(NB_LQ_CR*'Regional data'!C37),"-")</f>
        <v>-</v>
      </c>
      <c r="E97" s="142" t="str">
        <f>IF('Regional data'!G37&gt;0,'Regional data'!G37*Prod_CR*Size_dist_MQ_CR/(NB_MQ_CR*'Regional data'!D37),"-")</f>
        <v>-</v>
      </c>
      <c r="F97" s="142" t="str">
        <f>IF('Regional data'!H37&gt;0,'Regional data'!H37*Prod_CR*Size_dist_SQ_CR/(NB_SQ_CR*'Regional data'!E37),"-")</f>
        <v>-</v>
      </c>
      <c r="G97" s="195" t="str">
        <f t="shared" si="18"/>
        <v>-</v>
      </c>
      <c r="H97" s="196" t="str">
        <f t="shared" si="19"/>
        <v>-</v>
      </c>
      <c r="I97" s="198" t="str">
        <f t="shared" si="20"/>
        <v>-</v>
      </c>
      <c r="J97" s="191" t="str">
        <f t="shared" si="21"/>
        <v>-</v>
      </c>
      <c r="K97" s="142" t="str">
        <f t="shared" si="22"/>
        <v>-</v>
      </c>
      <c r="L97" s="192" t="str">
        <f t="shared" si="23"/>
        <v>-</v>
      </c>
      <c r="M97" s="142" t="str">
        <f>IF(J97="-","-",J97*NB_LQ_CR*'Regional data'!C37)</f>
        <v>-</v>
      </c>
      <c r="N97" s="142" t="str">
        <f>IF(K97="-","-",K97*NB_MQ_CR*'Regional data'!D37)</f>
        <v>-</v>
      </c>
      <c r="O97" s="142" t="str">
        <f>IF(L97="-","-",L97*NB_SQ_CR*'Regional data'!E37)</f>
        <v>-</v>
      </c>
      <c r="P97" s="141" t="str">
        <f>IF('Regional data'!L37&gt;0,'Regional data'!L37*Prod_CR*Size_dist_LQ_SG/(NB_LQ_SG*'Regional data'!I37),"-")</f>
        <v>-</v>
      </c>
      <c r="Q97" s="142" t="str">
        <f>IF('Regional data'!M37&gt;0,'Regional data'!M37*Prod_SG*Size_dist_MQ_SG/(NB_MQ_SG*'Regional data'!J37),"-")</f>
        <v>-</v>
      </c>
      <c r="R97" s="142" t="str">
        <f>IF('Regional data'!N37&gt;0,'Regional data'!N37*Prod_SG*Size_dist_SQ_SG/(NB_SQ_SG*'Regional data'!K37),"-")</f>
        <v>-</v>
      </c>
      <c r="S97" s="195" t="str">
        <f t="shared" si="24"/>
        <v>-</v>
      </c>
      <c r="T97" s="196" t="str">
        <f t="shared" si="25"/>
        <v>-</v>
      </c>
      <c r="U97" s="198" t="str">
        <f t="shared" si="26"/>
        <v>-</v>
      </c>
      <c r="V97" s="191" t="str">
        <f t="shared" si="27"/>
        <v>-</v>
      </c>
      <c r="W97" s="142" t="str">
        <f t="shared" si="28"/>
        <v>-</v>
      </c>
      <c r="X97" s="192" t="str">
        <f t="shared" si="29"/>
        <v>-</v>
      </c>
      <c r="Y97" s="191" t="str">
        <f>IF(V97="-","-",V97*NB_LQ_SG*'Regional data'!I37)</f>
        <v>-</v>
      </c>
      <c r="Z97" s="142" t="str">
        <f>IF(W97="-","-",W97*NB_MQ_SG*'Regional data'!J37)</f>
        <v>-</v>
      </c>
      <c r="AA97" s="192" t="str">
        <f>IF(X97="-","-",X97*NB_SQ_SG*'Regional data'!K37)</f>
        <v>-</v>
      </c>
      <c r="AB97" s="141" t="str">
        <f>IF('Regional data'!R37&gt;0,'Regional data'!R37*Prod_RA*Size_dist_LQ_RA/(NB_LQ_RA*'Regional data'!O37),"-")</f>
        <v>-</v>
      </c>
      <c r="AC97" s="142" t="str">
        <f>IF('Regional data'!S37&gt;0,'Regional data'!S37*Prod_RA*Size_dist_MQ_RA/(NB_MQ_RA*'Regional data'!P37),"-")</f>
        <v>-</v>
      </c>
      <c r="AD97" s="142" t="str">
        <f>IF('Regional data'!T37&gt;0,'Regional data'!T37*Prod_RA*Size_dist_SQ_RA/(NB_SQ_RA*'Regional data'!Q37),"-")</f>
        <v>-</v>
      </c>
      <c r="AE97" s="195" t="str">
        <f t="shared" si="30"/>
        <v>-</v>
      </c>
      <c r="AF97" s="196" t="str">
        <f t="shared" si="31"/>
        <v>-</v>
      </c>
      <c r="AG97" s="198" t="str">
        <f t="shared" si="32"/>
        <v>-</v>
      </c>
      <c r="AH97" s="191" t="str">
        <f t="shared" si="33"/>
        <v>-</v>
      </c>
      <c r="AI97" s="142" t="str">
        <f t="shared" si="34"/>
        <v>-</v>
      </c>
      <c r="AJ97" s="192" t="str">
        <f t="shared" si="35"/>
        <v>-</v>
      </c>
      <c r="AK97" s="82" t="str">
        <f>IF(AH97="-","-",AH97*NB_LQ_RA*'Regional data'!O37)</f>
        <v>-</v>
      </c>
      <c r="AL97" s="142" t="str">
        <f>IF(AI97="-","-",AI97*NB_MQ_RA*'Regional data'!P37)</f>
        <v>-</v>
      </c>
      <c r="AM97" s="134" t="str">
        <f>IF(AJ97="-","-",AJ97*NB_SQ_RA*'Regional data'!Q37)</f>
        <v>-</v>
      </c>
    </row>
    <row r="98" spans="2:39" x14ac:dyDescent="0.25">
      <c r="B98" s="80">
        <f>'Regional data'!B38</f>
        <v>0</v>
      </c>
      <c r="C98" s="85">
        <f>Coeff_wind_Erosion_CR*(365*(365-'Regional data'!V38)/235)*('Regional data'!W38/365*100/15)*1000</f>
        <v>0</v>
      </c>
      <c r="D98" s="142" t="str">
        <f>IF('Regional data'!F38&gt;0,'Regional data'!F38*Prod_CR*Size_dist_LQ_CR/(NB_LQ_CR*'Regional data'!C38),"-")</f>
        <v>-</v>
      </c>
      <c r="E98" s="142" t="str">
        <f>IF('Regional data'!G38&gt;0,'Regional data'!G38*Prod_CR*Size_dist_MQ_CR/(NB_MQ_CR*'Regional data'!D38),"-")</f>
        <v>-</v>
      </c>
      <c r="F98" s="142" t="str">
        <f>IF('Regional data'!H38&gt;0,'Regional data'!H38*Prod_CR*Size_dist_SQ_CR/(NB_SQ_CR*'Regional data'!E38),"-")</f>
        <v>-</v>
      </c>
      <c r="G98" s="195" t="str">
        <f t="shared" si="18"/>
        <v>-</v>
      </c>
      <c r="H98" s="196" t="str">
        <f t="shared" si="19"/>
        <v>-</v>
      </c>
      <c r="I98" s="198" t="str">
        <f t="shared" si="20"/>
        <v>-</v>
      </c>
      <c r="J98" s="191" t="str">
        <f t="shared" si="21"/>
        <v>-</v>
      </c>
      <c r="K98" s="142" t="str">
        <f t="shared" si="22"/>
        <v>-</v>
      </c>
      <c r="L98" s="192" t="str">
        <f t="shared" si="23"/>
        <v>-</v>
      </c>
      <c r="M98" s="142" t="str">
        <f>IF(J98="-","-",J98*NB_LQ_CR*'Regional data'!C38)</f>
        <v>-</v>
      </c>
      <c r="N98" s="142" t="str">
        <f>IF(K98="-","-",K98*NB_MQ_CR*'Regional data'!D38)</f>
        <v>-</v>
      </c>
      <c r="O98" s="142" t="str">
        <f>IF(L98="-","-",L98*NB_SQ_CR*'Regional data'!E38)</f>
        <v>-</v>
      </c>
      <c r="P98" s="141" t="str">
        <f>IF('Regional data'!L38&gt;0,'Regional data'!L38*Prod_CR*Size_dist_LQ_SG/(NB_LQ_SG*'Regional data'!I38),"-")</f>
        <v>-</v>
      </c>
      <c r="Q98" s="142" t="str">
        <f>IF('Regional data'!M38&gt;0,'Regional data'!M38*Prod_SG*Size_dist_MQ_SG/(NB_MQ_SG*'Regional data'!J38),"-")</f>
        <v>-</v>
      </c>
      <c r="R98" s="142" t="str">
        <f>IF('Regional data'!N38&gt;0,'Regional data'!N38*Prod_SG*Size_dist_SQ_SG/(NB_SQ_SG*'Regional data'!K38),"-")</f>
        <v>-</v>
      </c>
      <c r="S98" s="195" t="str">
        <f t="shared" si="24"/>
        <v>-</v>
      </c>
      <c r="T98" s="196" t="str">
        <f t="shared" si="25"/>
        <v>-</v>
      </c>
      <c r="U98" s="198" t="str">
        <f t="shared" si="26"/>
        <v>-</v>
      </c>
      <c r="V98" s="191" t="str">
        <f t="shared" si="27"/>
        <v>-</v>
      </c>
      <c r="W98" s="142" t="str">
        <f t="shared" si="28"/>
        <v>-</v>
      </c>
      <c r="X98" s="192" t="str">
        <f t="shared" si="29"/>
        <v>-</v>
      </c>
      <c r="Y98" s="191" t="str">
        <f>IF(V98="-","-",V98*NB_LQ_SG*'Regional data'!I38)</f>
        <v>-</v>
      </c>
      <c r="Z98" s="142" t="str">
        <f>IF(W98="-","-",W98*NB_MQ_SG*'Regional data'!J38)</f>
        <v>-</v>
      </c>
      <c r="AA98" s="192" t="str">
        <f>IF(X98="-","-",X98*NB_SQ_SG*'Regional data'!K38)</f>
        <v>-</v>
      </c>
      <c r="AB98" s="141" t="str">
        <f>IF('Regional data'!R38&gt;0,'Regional data'!R38*Prod_RA*Size_dist_LQ_RA/(NB_LQ_RA*'Regional data'!O38),"-")</f>
        <v>-</v>
      </c>
      <c r="AC98" s="142" t="str">
        <f>IF('Regional data'!S38&gt;0,'Regional data'!S38*Prod_RA*Size_dist_MQ_RA/(NB_MQ_RA*'Regional data'!P38),"-")</f>
        <v>-</v>
      </c>
      <c r="AD98" s="142" t="str">
        <f>IF('Regional data'!T38&gt;0,'Regional data'!T38*Prod_RA*Size_dist_SQ_RA/(NB_SQ_RA*'Regional data'!Q38),"-")</f>
        <v>-</v>
      </c>
      <c r="AE98" s="195" t="str">
        <f t="shared" si="30"/>
        <v>-</v>
      </c>
      <c r="AF98" s="196" t="str">
        <f t="shared" si="31"/>
        <v>-</v>
      </c>
      <c r="AG98" s="198" t="str">
        <f t="shared" si="32"/>
        <v>-</v>
      </c>
      <c r="AH98" s="191" t="str">
        <f t="shared" si="33"/>
        <v>-</v>
      </c>
      <c r="AI98" s="142" t="str">
        <f t="shared" si="34"/>
        <v>-</v>
      </c>
      <c r="AJ98" s="192" t="str">
        <f t="shared" si="35"/>
        <v>-</v>
      </c>
      <c r="AK98" s="82" t="str">
        <f>IF(AH98="-","-",AH98*NB_LQ_RA*'Regional data'!O38)</f>
        <v>-</v>
      </c>
      <c r="AL98" s="142" t="str">
        <f>IF(AI98="-","-",AI98*NB_MQ_RA*'Regional data'!P38)</f>
        <v>-</v>
      </c>
      <c r="AM98" s="134" t="str">
        <f>IF(AJ98="-","-",AJ98*NB_SQ_RA*'Regional data'!Q38)</f>
        <v>-</v>
      </c>
    </row>
    <row r="99" spans="2:39" x14ac:dyDescent="0.25">
      <c r="B99" s="80">
        <f>'Regional data'!B39</f>
        <v>0</v>
      </c>
      <c r="C99" s="85">
        <f>Coeff_wind_Erosion_CR*(365*(365-'Regional data'!V39)/235)*('Regional data'!W39/365*100/15)*1000</f>
        <v>0</v>
      </c>
      <c r="D99" s="142" t="str">
        <f>IF('Regional data'!F39&gt;0,'Regional data'!F39*Prod_CR*Size_dist_LQ_CR/(NB_LQ_CR*'Regional data'!C39),"-")</f>
        <v>-</v>
      </c>
      <c r="E99" s="142" t="str">
        <f>IF('Regional data'!G39&gt;0,'Regional data'!G39*Prod_CR*Size_dist_MQ_CR/(NB_MQ_CR*'Regional data'!D39),"-")</f>
        <v>-</v>
      </c>
      <c r="F99" s="142" t="str">
        <f>IF('Regional data'!H39&gt;0,'Regional data'!H39*Prod_CR*Size_dist_SQ_CR/(NB_SQ_CR*'Regional data'!E39),"-")</f>
        <v>-</v>
      </c>
      <c r="G99" s="195" t="str">
        <f t="shared" si="18"/>
        <v>-</v>
      </c>
      <c r="H99" s="196" t="str">
        <f t="shared" si="19"/>
        <v>-</v>
      </c>
      <c r="I99" s="198" t="str">
        <f t="shared" si="20"/>
        <v>-</v>
      </c>
      <c r="J99" s="191" t="str">
        <f t="shared" si="21"/>
        <v>-</v>
      </c>
      <c r="K99" s="142" t="str">
        <f t="shared" si="22"/>
        <v>-</v>
      </c>
      <c r="L99" s="192" t="str">
        <f t="shared" si="23"/>
        <v>-</v>
      </c>
      <c r="M99" s="142" t="str">
        <f>IF(J99="-","-",J99*NB_LQ_CR*'Regional data'!C39)</f>
        <v>-</v>
      </c>
      <c r="N99" s="142" t="str">
        <f>IF(K99="-","-",K99*NB_MQ_CR*'Regional data'!D39)</f>
        <v>-</v>
      </c>
      <c r="O99" s="142" t="str">
        <f>IF(L99="-","-",L99*NB_SQ_CR*'Regional data'!E39)</f>
        <v>-</v>
      </c>
      <c r="P99" s="141" t="str">
        <f>IF('Regional data'!L39&gt;0,'Regional data'!L39*Prod_CR*Size_dist_LQ_SG/(NB_LQ_SG*'Regional data'!I39),"-")</f>
        <v>-</v>
      </c>
      <c r="Q99" s="142" t="str">
        <f>IF('Regional data'!M39&gt;0,'Regional data'!M39*Prod_SG*Size_dist_MQ_SG/(NB_MQ_SG*'Regional data'!J39),"-")</f>
        <v>-</v>
      </c>
      <c r="R99" s="142" t="str">
        <f>IF('Regional data'!N39&gt;0,'Regional data'!N39*Prod_SG*Size_dist_SQ_SG/(NB_SQ_SG*'Regional data'!K39),"-")</f>
        <v>-</v>
      </c>
      <c r="S99" s="195" t="str">
        <f t="shared" si="24"/>
        <v>-</v>
      </c>
      <c r="T99" s="196" t="str">
        <f t="shared" si="25"/>
        <v>-</v>
      </c>
      <c r="U99" s="198" t="str">
        <f t="shared" si="26"/>
        <v>-</v>
      </c>
      <c r="V99" s="191" t="str">
        <f t="shared" si="27"/>
        <v>-</v>
      </c>
      <c r="W99" s="142" t="str">
        <f t="shared" si="28"/>
        <v>-</v>
      </c>
      <c r="X99" s="192" t="str">
        <f t="shared" si="29"/>
        <v>-</v>
      </c>
      <c r="Y99" s="191" t="str">
        <f>IF(V99="-","-",V99*NB_LQ_SG*'Regional data'!I39)</f>
        <v>-</v>
      </c>
      <c r="Z99" s="142" t="str">
        <f>IF(W99="-","-",W99*NB_MQ_SG*'Regional data'!J39)</f>
        <v>-</v>
      </c>
      <c r="AA99" s="192" t="str">
        <f>IF(X99="-","-",X99*NB_SQ_SG*'Regional data'!K39)</f>
        <v>-</v>
      </c>
      <c r="AB99" s="141" t="str">
        <f>IF('Regional data'!R39&gt;0,'Regional data'!R39*Prod_RA*Size_dist_LQ_RA/(NB_LQ_RA*'Regional data'!O39),"-")</f>
        <v>-</v>
      </c>
      <c r="AC99" s="142" t="str">
        <f>IF('Regional data'!S39&gt;0,'Regional data'!S39*Prod_RA*Size_dist_MQ_RA/(NB_MQ_RA*'Regional data'!P39),"-")</f>
        <v>-</v>
      </c>
      <c r="AD99" s="142" t="str">
        <f>IF('Regional data'!T39&gt;0,'Regional data'!T39*Prod_RA*Size_dist_SQ_RA/(NB_SQ_RA*'Regional data'!Q39),"-")</f>
        <v>-</v>
      </c>
      <c r="AE99" s="195" t="str">
        <f t="shared" si="30"/>
        <v>-</v>
      </c>
      <c r="AF99" s="196" t="str">
        <f t="shared" si="31"/>
        <v>-</v>
      </c>
      <c r="AG99" s="198" t="str">
        <f t="shared" si="32"/>
        <v>-</v>
      </c>
      <c r="AH99" s="191" t="str">
        <f t="shared" si="33"/>
        <v>-</v>
      </c>
      <c r="AI99" s="142" t="str">
        <f t="shared" si="34"/>
        <v>-</v>
      </c>
      <c r="AJ99" s="192" t="str">
        <f t="shared" si="35"/>
        <v>-</v>
      </c>
      <c r="AK99" s="82" t="str">
        <f>IF(AH99="-","-",AH99*NB_LQ_RA*'Regional data'!O39)</f>
        <v>-</v>
      </c>
      <c r="AL99" s="142" t="str">
        <f>IF(AI99="-","-",AI99*NB_MQ_RA*'Regional data'!P39)</f>
        <v>-</v>
      </c>
      <c r="AM99" s="134" t="str">
        <f>IF(AJ99="-","-",AJ99*NB_SQ_RA*'Regional data'!Q39)</f>
        <v>-</v>
      </c>
    </row>
    <row r="100" spans="2:39" x14ac:dyDescent="0.25">
      <c r="B100" s="80">
        <f>'Regional data'!B40</f>
        <v>0</v>
      </c>
      <c r="C100" s="85">
        <f>Coeff_wind_Erosion_CR*(365*(365-'Regional data'!V40)/235)*('Regional data'!W40/365*100/15)*1000</f>
        <v>0</v>
      </c>
      <c r="D100" s="142" t="str">
        <f>IF('Regional data'!F40&gt;0,'Regional data'!F40*Prod_CR*Size_dist_LQ_CR/(NB_LQ_CR*'Regional data'!C40),"-")</f>
        <v>-</v>
      </c>
      <c r="E100" s="142" t="str">
        <f>IF('Regional data'!G40&gt;0,'Regional data'!G40*Prod_CR*Size_dist_MQ_CR/(NB_MQ_CR*'Regional data'!D40),"-")</f>
        <v>-</v>
      </c>
      <c r="F100" s="142" t="str">
        <f>IF('Regional data'!H40&gt;0,'Regional data'!H40*Prod_CR*Size_dist_SQ_CR/(NB_SQ_CR*'Regional data'!E40),"-")</f>
        <v>-</v>
      </c>
      <c r="G100" s="195" t="str">
        <f t="shared" si="18"/>
        <v>-</v>
      </c>
      <c r="H100" s="196" t="str">
        <f t="shared" si="19"/>
        <v>-</v>
      </c>
      <c r="I100" s="198" t="str">
        <f t="shared" si="20"/>
        <v>-</v>
      </c>
      <c r="J100" s="191" t="str">
        <f t="shared" si="21"/>
        <v>-</v>
      </c>
      <c r="K100" s="142" t="str">
        <f t="shared" si="22"/>
        <v>-</v>
      </c>
      <c r="L100" s="192" t="str">
        <f t="shared" si="23"/>
        <v>-</v>
      </c>
      <c r="M100" s="142" t="str">
        <f>IF(J100="-","-",J100*NB_LQ_CR*'Regional data'!C40)</f>
        <v>-</v>
      </c>
      <c r="N100" s="142" t="str">
        <f>IF(K100="-","-",K100*NB_MQ_CR*'Regional data'!D40)</f>
        <v>-</v>
      </c>
      <c r="O100" s="142" t="str">
        <f>IF(L100="-","-",L100*NB_SQ_CR*'Regional data'!E40)</f>
        <v>-</v>
      </c>
      <c r="P100" s="141" t="str">
        <f>IF('Regional data'!L40&gt;0,'Regional data'!L40*Prod_CR*Size_dist_LQ_SG/(NB_LQ_SG*'Regional data'!I40),"-")</f>
        <v>-</v>
      </c>
      <c r="Q100" s="142" t="str">
        <f>IF('Regional data'!M40&gt;0,'Regional data'!M40*Prod_SG*Size_dist_MQ_SG/(NB_MQ_SG*'Regional data'!J40),"-")</f>
        <v>-</v>
      </c>
      <c r="R100" s="142" t="str">
        <f>IF('Regional data'!N40&gt;0,'Regional data'!N40*Prod_SG*Size_dist_SQ_SG/(NB_SQ_SG*'Regional data'!K40),"-")</f>
        <v>-</v>
      </c>
      <c r="S100" s="195" t="str">
        <f t="shared" si="24"/>
        <v>-</v>
      </c>
      <c r="T100" s="196" t="str">
        <f t="shared" si="25"/>
        <v>-</v>
      </c>
      <c r="U100" s="198" t="str">
        <f t="shared" si="26"/>
        <v>-</v>
      </c>
      <c r="V100" s="191" t="str">
        <f t="shared" si="27"/>
        <v>-</v>
      </c>
      <c r="W100" s="142" t="str">
        <f t="shared" si="28"/>
        <v>-</v>
      </c>
      <c r="X100" s="192" t="str">
        <f t="shared" si="29"/>
        <v>-</v>
      </c>
      <c r="Y100" s="191" t="str">
        <f>IF(V100="-","-",V100*NB_LQ_SG*'Regional data'!I40)</f>
        <v>-</v>
      </c>
      <c r="Z100" s="142" t="str">
        <f>IF(W100="-","-",W100*NB_MQ_SG*'Regional data'!J40)</f>
        <v>-</v>
      </c>
      <c r="AA100" s="192" t="str">
        <f>IF(X100="-","-",X100*NB_SQ_SG*'Regional data'!K40)</f>
        <v>-</v>
      </c>
      <c r="AB100" s="141" t="str">
        <f>IF('Regional data'!R40&gt;0,'Regional data'!R40*Prod_RA*Size_dist_LQ_RA/(NB_LQ_RA*'Regional data'!O40),"-")</f>
        <v>-</v>
      </c>
      <c r="AC100" s="142" t="str">
        <f>IF('Regional data'!S40&gt;0,'Regional data'!S40*Prod_RA*Size_dist_MQ_RA/(NB_MQ_RA*'Regional data'!P40),"-")</f>
        <v>-</v>
      </c>
      <c r="AD100" s="142" t="str">
        <f>IF('Regional data'!T40&gt;0,'Regional data'!T40*Prod_RA*Size_dist_SQ_RA/(NB_SQ_RA*'Regional data'!Q40),"-")</f>
        <v>-</v>
      </c>
      <c r="AE100" s="195" t="str">
        <f t="shared" si="30"/>
        <v>-</v>
      </c>
      <c r="AF100" s="196" t="str">
        <f t="shared" si="31"/>
        <v>-</v>
      </c>
      <c r="AG100" s="198" t="str">
        <f t="shared" si="32"/>
        <v>-</v>
      </c>
      <c r="AH100" s="191" t="str">
        <f t="shared" si="33"/>
        <v>-</v>
      </c>
      <c r="AI100" s="142" t="str">
        <f t="shared" si="34"/>
        <v>-</v>
      </c>
      <c r="AJ100" s="192" t="str">
        <f t="shared" si="35"/>
        <v>-</v>
      </c>
      <c r="AK100" s="82" t="str">
        <f>IF(AH100="-","-",AH100*NB_LQ_RA*'Regional data'!O40)</f>
        <v>-</v>
      </c>
      <c r="AL100" s="142" t="str">
        <f>IF(AI100="-","-",AI100*NB_MQ_RA*'Regional data'!P40)</f>
        <v>-</v>
      </c>
      <c r="AM100" s="134" t="str">
        <f>IF(AJ100="-","-",AJ100*NB_SQ_RA*'Regional data'!Q40)</f>
        <v>-</v>
      </c>
    </row>
    <row r="101" spans="2:39" x14ac:dyDescent="0.25">
      <c r="B101" s="80">
        <f>'Regional data'!B41</f>
        <v>0</v>
      </c>
      <c r="C101" s="85">
        <f>Coeff_wind_Erosion_CR*(365*(365-'Regional data'!V41)/235)*('Regional data'!W41/365*100/15)*1000</f>
        <v>0</v>
      </c>
      <c r="D101" s="142" t="str">
        <f>IF('Regional data'!F41&gt;0,'Regional data'!F41*Prod_CR*Size_dist_LQ_CR/(NB_LQ_CR*'Regional data'!C41),"-")</f>
        <v>-</v>
      </c>
      <c r="E101" s="142" t="str">
        <f>IF('Regional data'!G41&gt;0,'Regional data'!G41*Prod_CR*Size_dist_MQ_CR/(NB_MQ_CR*'Regional data'!D41),"-")</f>
        <v>-</v>
      </c>
      <c r="F101" s="142" t="str">
        <f>IF('Regional data'!H41&gt;0,'Regional data'!H41*Prod_CR*Size_dist_SQ_CR/(NB_SQ_CR*'Regional data'!E41),"-")</f>
        <v>-</v>
      </c>
      <c r="G101" s="195" t="str">
        <f t="shared" si="18"/>
        <v>-</v>
      </c>
      <c r="H101" s="196" t="str">
        <f t="shared" si="19"/>
        <v>-</v>
      </c>
      <c r="I101" s="198" t="str">
        <f t="shared" si="20"/>
        <v>-</v>
      </c>
      <c r="J101" s="191" t="str">
        <f t="shared" si="21"/>
        <v>-</v>
      </c>
      <c r="K101" s="142" t="str">
        <f t="shared" si="22"/>
        <v>-</v>
      </c>
      <c r="L101" s="192" t="str">
        <f t="shared" si="23"/>
        <v>-</v>
      </c>
      <c r="M101" s="142" t="str">
        <f>IF(J101="-","-",J101*NB_LQ_CR*'Regional data'!C41)</f>
        <v>-</v>
      </c>
      <c r="N101" s="142" t="str">
        <f>IF(K101="-","-",K101*NB_MQ_CR*'Regional data'!D41)</f>
        <v>-</v>
      </c>
      <c r="O101" s="142" t="str">
        <f>IF(L101="-","-",L101*NB_SQ_CR*'Regional data'!E41)</f>
        <v>-</v>
      </c>
      <c r="P101" s="141" t="str">
        <f>IF('Regional data'!L41&gt;0,'Regional data'!L41*Prod_CR*Size_dist_LQ_SG/(NB_LQ_SG*'Regional data'!I41),"-")</f>
        <v>-</v>
      </c>
      <c r="Q101" s="142" t="str">
        <f>IF('Regional data'!M41&gt;0,'Regional data'!M41*Prod_SG*Size_dist_MQ_SG/(NB_MQ_SG*'Regional data'!J41),"-")</f>
        <v>-</v>
      </c>
      <c r="R101" s="142" t="str">
        <f>IF('Regional data'!N41&gt;0,'Regional data'!N41*Prod_SG*Size_dist_SQ_SG/(NB_SQ_SG*'Regional data'!K41),"-")</f>
        <v>-</v>
      </c>
      <c r="S101" s="195" t="str">
        <f t="shared" si="24"/>
        <v>-</v>
      </c>
      <c r="T101" s="196" t="str">
        <f t="shared" si="25"/>
        <v>-</v>
      </c>
      <c r="U101" s="198" t="str">
        <f t="shared" si="26"/>
        <v>-</v>
      </c>
      <c r="V101" s="191" t="str">
        <f t="shared" si="27"/>
        <v>-</v>
      </c>
      <c r="W101" s="142" t="str">
        <f t="shared" si="28"/>
        <v>-</v>
      </c>
      <c r="X101" s="192" t="str">
        <f t="shared" si="29"/>
        <v>-</v>
      </c>
      <c r="Y101" s="191" t="str">
        <f>IF(V101="-","-",V101*NB_LQ_SG*'Regional data'!I41)</f>
        <v>-</v>
      </c>
      <c r="Z101" s="142" t="str">
        <f>IF(W101="-","-",W101*NB_MQ_SG*'Regional data'!J41)</f>
        <v>-</v>
      </c>
      <c r="AA101" s="192" t="str">
        <f>IF(X101="-","-",X101*NB_SQ_SG*'Regional data'!K41)</f>
        <v>-</v>
      </c>
      <c r="AB101" s="141" t="str">
        <f>IF('Regional data'!R41&gt;0,'Regional data'!R41*Prod_RA*Size_dist_LQ_RA/(NB_LQ_RA*'Regional data'!O41),"-")</f>
        <v>-</v>
      </c>
      <c r="AC101" s="142" t="str">
        <f>IF('Regional data'!S41&gt;0,'Regional data'!S41*Prod_RA*Size_dist_MQ_RA/(NB_MQ_RA*'Regional data'!P41),"-")</f>
        <v>-</v>
      </c>
      <c r="AD101" s="142" t="str">
        <f>IF('Regional data'!T41&gt;0,'Regional data'!T41*Prod_RA*Size_dist_SQ_RA/(NB_SQ_RA*'Regional data'!Q41),"-")</f>
        <v>-</v>
      </c>
      <c r="AE101" s="195" t="str">
        <f t="shared" si="30"/>
        <v>-</v>
      </c>
      <c r="AF101" s="196" t="str">
        <f t="shared" si="31"/>
        <v>-</v>
      </c>
      <c r="AG101" s="198" t="str">
        <f t="shared" si="32"/>
        <v>-</v>
      </c>
      <c r="AH101" s="191" t="str">
        <f t="shared" si="33"/>
        <v>-</v>
      </c>
      <c r="AI101" s="142" t="str">
        <f t="shared" si="34"/>
        <v>-</v>
      </c>
      <c r="AJ101" s="192" t="str">
        <f t="shared" si="35"/>
        <v>-</v>
      </c>
      <c r="AK101" s="82" t="str">
        <f>IF(AH101="-","-",AH101*NB_LQ_RA*'Regional data'!O41)</f>
        <v>-</v>
      </c>
      <c r="AL101" s="142" t="str">
        <f>IF(AI101="-","-",AI101*NB_MQ_RA*'Regional data'!P41)</f>
        <v>-</v>
      </c>
      <c r="AM101" s="134" t="str">
        <f>IF(AJ101="-","-",AJ101*NB_SQ_RA*'Regional data'!Q41)</f>
        <v>-</v>
      </c>
    </row>
    <row r="102" spans="2:39" x14ac:dyDescent="0.25">
      <c r="B102" s="80">
        <f>'Regional data'!B42</f>
        <v>0</v>
      </c>
      <c r="C102" s="85">
        <f>Coeff_wind_Erosion_CR*(365*(365-'Regional data'!V42)/235)*('Regional data'!W42/365*100/15)*1000</f>
        <v>0</v>
      </c>
      <c r="D102" s="142" t="str">
        <f>IF('Regional data'!F42&gt;0,'Regional data'!F42*Prod_CR*Size_dist_LQ_CR/(NB_LQ_CR*'Regional data'!C42),"-")</f>
        <v>-</v>
      </c>
      <c r="E102" s="142" t="str">
        <f>IF('Regional data'!G42&gt;0,'Regional data'!G42*Prod_CR*Size_dist_MQ_CR/(NB_MQ_CR*'Regional data'!D42),"-")</f>
        <v>-</v>
      </c>
      <c r="F102" s="142" t="str">
        <f>IF('Regional data'!H42&gt;0,'Regional data'!H42*Prod_CR*Size_dist_SQ_CR/(NB_SQ_CR*'Regional data'!E42),"-")</f>
        <v>-</v>
      </c>
      <c r="G102" s="195" t="str">
        <f t="shared" si="18"/>
        <v>-</v>
      </c>
      <c r="H102" s="196" t="str">
        <f t="shared" si="19"/>
        <v>-</v>
      </c>
      <c r="I102" s="198" t="str">
        <f t="shared" si="20"/>
        <v>-</v>
      </c>
      <c r="J102" s="191" t="str">
        <f t="shared" si="21"/>
        <v>-</v>
      </c>
      <c r="K102" s="142" t="str">
        <f t="shared" si="22"/>
        <v>-</v>
      </c>
      <c r="L102" s="192" t="str">
        <f t="shared" si="23"/>
        <v>-</v>
      </c>
      <c r="M102" s="142" t="str">
        <f>IF(J102="-","-",J102*NB_LQ_CR*'Regional data'!C42)</f>
        <v>-</v>
      </c>
      <c r="N102" s="142" t="str">
        <f>IF(K102="-","-",K102*NB_MQ_CR*'Regional data'!D42)</f>
        <v>-</v>
      </c>
      <c r="O102" s="142" t="str">
        <f>IF(L102="-","-",L102*NB_SQ_CR*'Regional data'!E42)</f>
        <v>-</v>
      </c>
      <c r="P102" s="141" t="str">
        <f>IF('Regional data'!L42&gt;0,'Regional data'!L42*Prod_CR*Size_dist_LQ_SG/(NB_LQ_SG*'Regional data'!I42),"-")</f>
        <v>-</v>
      </c>
      <c r="Q102" s="142" t="str">
        <f>IF('Regional data'!M42&gt;0,'Regional data'!M42*Prod_SG*Size_dist_MQ_SG/(NB_MQ_SG*'Regional data'!J42),"-")</f>
        <v>-</v>
      </c>
      <c r="R102" s="142" t="str">
        <f>IF('Regional data'!N42&gt;0,'Regional data'!N42*Prod_SG*Size_dist_SQ_SG/(NB_SQ_SG*'Regional data'!K42),"-")</f>
        <v>-</v>
      </c>
      <c r="S102" s="195" t="str">
        <f t="shared" si="24"/>
        <v>-</v>
      </c>
      <c r="T102" s="196" t="str">
        <f t="shared" si="25"/>
        <v>-</v>
      </c>
      <c r="U102" s="198" t="str">
        <f t="shared" si="26"/>
        <v>-</v>
      </c>
      <c r="V102" s="191" t="str">
        <f t="shared" si="27"/>
        <v>-</v>
      </c>
      <c r="W102" s="142" t="str">
        <f t="shared" si="28"/>
        <v>-</v>
      </c>
      <c r="X102" s="192" t="str">
        <f t="shared" si="29"/>
        <v>-</v>
      </c>
      <c r="Y102" s="191" t="str">
        <f>IF(V102="-","-",V102*NB_LQ_SG*'Regional data'!I42)</f>
        <v>-</v>
      </c>
      <c r="Z102" s="142" t="str">
        <f>IF(W102="-","-",W102*NB_MQ_SG*'Regional data'!J42)</f>
        <v>-</v>
      </c>
      <c r="AA102" s="192" t="str">
        <f>IF(X102="-","-",X102*NB_SQ_SG*'Regional data'!K42)</f>
        <v>-</v>
      </c>
      <c r="AB102" s="141" t="str">
        <f>IF('Regional data'!R42&gt;0,'Regional data'!R42*Prod_RA*Size_dist_LQ_RA/(NB_LQ_RA*'Regional data'!O42),"-")</f>
        <v>-</v>
      </c>
      <c r="AC102" s="142" t="str">
        <f>IF('Regional data'!S42&gt;0,'Regional data'!S42*Prod_RA*Size_dist_MQ_RA/(NB_MQ_RA*'Regional data'!P42),"-")</f>
        <v>-</v>
      </c>
      <c r="AD102" s="142" t="str">
        <f>IF('Regional data'!T42&gt;0,'Regional data'!T42*Prod_RA*Size_dist_SQ_RA/(NB_SQ_RA*'Regional data'!Q42),"-")</f>
        <v>-</v>
      </c>
      <c r="AE102" s="195" t="str">
        <f t="shared" si="30"/>
        <v>-</v>
      </c>
      <c r="AF102" s="196" t="str">
        <f t="shared" si="31"/>
        <v>-</v>
      </c>
      <c r="AG102" s="198" t="str">
        <f t="shared" si="32"/>
        <v>-</v>
      </c>
      <c r="AH102" s="191" t="str">
        <f t="shared" si="33"/>
        <v>-</v>
      </c>
      <c r="AI102" s="142" t="str">
        <f t="shared" si="34"/>
        <v>-</v>
      </c>
      <c r="AJ102" s="192" t="str">
        <f t="shared" si="35"/>
        <v>-</v>
      </c>
      <c r="AK102" s="82" t="str">
        <f>IF(AH102="-","-",AH102*NB_LQ_RA*'Regional data'!O42)</f>
        <v>-</v>
      </c>
      <c r="AL102" s="142" t="str">
        <f>IF(AI102="-","-",AI102*NB_MQ_RA*'Regional data'!P42)</f>
        <v>-</v>
      </c>
      <c r="AM102" s="134" t="str">
        <f>IF(AJ102="-","-",AJ102*NB_SQ_RA*'Regional data'!Q42)</f>
        <v>-</v>
      </c>
    </row>
    <row r="103" spans="2:39" x14ac:dyDescent="0.25">
      <c r="B103" s="80">
        <f>'Regional data'!B43</f>
        <v>0</v>
      </c>
      <c r="C103" s="85">
        <f>Coeff_wind_Erosion_CR*(365*(365-'Regional data'!V43)/235)*('Regional data'!W43/365*100/15)*1000</f>
        <v>0</v>
      </c>
      <c r="D103" s="142" t="str">
        <f>IF('Regional data'!F43&gt;0,'Regional data'!F43*Prod_CR*Size_dist_LQ_CR/(NB_LQ_CR*'Regional data'!C43),"-")</f>
        <v>-</v>
      </c>
      <c r="E103" s="142" t="str">
        <f>IF('Regional data'!G43&gt;0,'Regional data'!G43*Prod_CR*Size_dist_MQ_CR/(NB_MQ_CR*'Regional data'!D43),"-")</f>
        <v>-</v>
      </c>
      <c r="F103" s="142" t="str">
        <f>IF('Regional data'!H43&gt;0,'Regional data'!H43*Prod_CR*Size_dist_SQ_CR/(NB_SQ_CR*'Regional data'!E43),"-")</f>
        <v>-</v>
      </c>
      <c r="G103" s="195" t="str">
        <f t="shared" si="18"/>
        <v>-</v>
      </c>
      <c r="H103" s="196" t="str">
        <f t="shared" si="19"/>
        <v>-</v>
      </c>
      <c r="I103" s="198" t="str">
        <f t="shared" si="20"/>
        <v>-</v>
      </c>
      <c r="J103" s="191" t="str">
        <f t="shared" si="21"/>
        <v>-</v>
      </c>
      <c r="K103" s="142" t="str">
        <f t="shared" si="22"/>
        <v>-</v>
      </c>
      <c r="L103" s="192" t="str">
        <f t="shared" si="23"/>
        <v>-</v>
      </c>
      <c r="M103" s="142" t="str">
        <f>IF(J103="-","-",J103*NB_LQ_CR*'Regional data'!C43)</f>
        <v>-</v>
      </c>
      <c r="N103" s="142" t="str">
        <f>IF(K103="-","-",K103*NB_MQ_CR*'Regional data'!D43)</f>
        <v>-</v>
      </c>
      <c r="O103" s="142" t="str">
        <f>IF(L103="-","-",L103*NB_SQ_CR*'Regional data'!E43)</f>
        <v>-</v>
      </c>
      <c r="P103" s="141" t="str">
        <f>IF('Regional data'!L43&gt;0,'Regional data'!L43*Prod_CR*Size_dist_LQ_SG/(NB_LQ_SG*'Regional data'!I43),"-")</f>
        <v>-</v>
      </c>
      <c r="Q103" s="142" t="str">
        <f>IF('Regional data'!M43&gt;0,'Regional data'!M43*Prod_SG*Size_dist_MQ_SG/(NB_MQ_SG*'Regional data'!J43),"-")</f>
        <v>-</v>
      </c>
      <c r="R103" s="142" t="str">
        <f>IF('Regional data'!N43&gt;0,'Regional data'!N43*Prod_SG*Size_dist_SQ_SG/(NB_SQ_SG*'Regional data'!K43),"-")</f>
        <v>-</v>
      </c>
      <c r="S103" s="195" t="str">
        <f t="shared" si="24"/>
        <v>-</v>
      </c>
      <c r="T103" s="196" t="str">
        <f t="shared" si="25"/>
        <v>-</v>
      </c>
      <c r="U103" s="198" t="str">
        <f t="shared" si="26"/>
        <v>-</v>
      </c>
      <c r="V103" s="191" t="str">
        <f t="shared" si="27"/>
        <v>-</v>
      </c>
      <c r="W103" s="142" t="str">
        <f t="shared" si="28"/>
        <v>-</v>
      </c>
      <c r="X103" s="192" t="str">
        <f t="shared" si="29"/>
        <v>-</v>
      </c>
      <c r="Y103" s="191" t="str">
        <f>IF(V103="-","-",V103*NB_LQ_SG*'Regional data'!I43)</f>
        <v>-</v>
      </c>
      <c r="Z103" s="142" t="str">
        <f>IF(W103="-","-",W103*NB_MQ_SG*'Regional data'!J43)</f>
        <v>-</v>
      </c>
      <c r="AA103" s="192" t="str">
        <f>IF(X103="-","-",X103*NB_SQ_SG*'Regional data'!K43)</f>
        <v>-</v>
      </c>
      <c r="AB103" s="141" t="str">
        <f>IF('Regional data'!R43&gt;0,'Regional data'!R43*Prod_RA*Size_dist_LQ_RA/(NB_LQ_RA*'Regional data'!O43),"-")</f>
        <v>-</v>
      </c>
      <c r="AC103" s="142" t="str">
        <f>IF('Regional data'!S43&gt;0,'Regional data'!S43*Prod_RA*Size_dist_MQ_RA/(NB_MQ_RA*'Regional data'!P43),"-")</f>
        <v>-</v>
      </c>
      <c r="AD103" s="142" t="str">
        <f>IF('Regional data'!T43&gt;0,'Regional data'!T43*Prod_RA*Size_dist_SQ_RA/(NB_SQ_RA*'Regional data'!Q43),"-")</f>
        <v>-</v>
      </c>
      <c r="AE103" s="195" t="str">
        <f t="shared" si="30"/>
        <v>-</v>
      </c>
      <c r="AF103" s="196" t="str">
        <f t="shared" si="31"/>
        <v>-</v>
      </c>
      <c r="AG103" s="198" t="str">
        <f t="shared" si="32"/>
        <v>-</v>
      </c>
      <c r="AH103" s="191" t="str">
        <f t="shared" si="33"/>
        <v>-</v>
      </c>
      <c r="AI103" s="142" t="str">
        <f t="shared" si="34"/>
        <v>-</v>
      </c>
      <c r="AJ103" s="192" t="str">
        <f t="shared" si="35"/>
        <v>-</v>
      </c>
      <c r="AK103" s="82" t="str">
        <f>IF(AH103="-","-",AH103*NB_LQ_RA*'Regional data'!O43)</f>
        <v>-</v>
      </c>
      <c r="AL103" s="142" t="str">
        <f>IF(AI103="-","-",AI103*NB_MQ_RA*'Regional data'!P43)</f>
        <v>-</v>
      </c>
      <c r="AM103" s="134" t="str">
        <f>IF(AJ103="-","-",AJ103*NB_SQ_RA*'Regional data'!Q43)</f>
        <v>-</v>
      </c>
    </row>
    <row r="104" spans="2:39" x14ac:dyDescent="0.25">
      <c r="B104" s="80">
        <f>'Regional data'!B44</f>
        <v>0</v>
      </c>
      <c r="C104" s="85">
        <f>Coeff_wind_Erosion_CR*(365*(365-'Regional data'!V44)/235)*('Regional data'!W44/365*100/15)*1000</f>
        <v>0</v>
      </c>
      <c r="D104" s="142" t="str">
        <f>IF('Regional data'!F44&gt;0,'Regional data'!F44*Prod_CR*Size_dist_LQ_CR/(NB_LQ_CR*'Regional data'!C44),"-")</f>
        <v>-</v>
      </c>
      <c r="E104" s="142" t="str">
        <f>IF('Regional data'!G44&gt;0,'Regional data'!G44*Prod_CR*Size_dist_MQ_CR/(NB_MQ_CR*'Regional data'!D44),"-")</f>
        <v>-</v>
      </c>
      <c r="F104" s="142" t="str">
        <f>IF('Regional data'!H44&gt;0,'Regional data'!H44*Prod_CR*Size_dist_SQ_CR/(NB_SQ_CR*'Regional data'!E44),"-")</f>
        <v>-</v>
      </c>
      <c r="G104" s="195" t="str">
        <f t="shared" si="18"/>
        <v>-</v>
      </c>
      <c r="H104" s="196" t="str">
        <f t="shared" si="19"/>
        <v>-</v>
      </c>
      <c r="I104" s="198" t="str">
        <f t="shared" si="20"/>
        <v>-</v>
      </c>
      <c r="J104" s="191" t="str">
        <f t="shared" si="21"/>
        <v>-</v>
      </c>
      <c r="K104" s="142" t="str">
        <f t="shared" si="22"/>
        <v>-</v>
      </c>
      <c r="L104" s="192" t="str">
        <f t="shared" si="23"/>
        <v>-</v>
      </c>
      <c r="M104" s="142" t="str">
        <f>IF(J104="-","-",J104*NB_LQ_CR*'Regional data'!C44)</f>
        <v>-</v>
      </c>
      <c r="N104" s="142" t="str">
        <f>IF(K104="-","-",K104*NB_MQ_CR*'Regional data'!D44)</f>
        <v>-</v>
      </c>
      <c r="O104" s="142" t="str">
        <f>IF(L104="-","-",L104*NB_SQ_CR*'Regional data'!E44)</f>
        <v>-</v>
      </c>
      <c r="P104" s="141" t="str">
        <f>IF('Regional data'!L44&gt;0,'Regional data'!L44*Prod_CR*Size_dist_LQ_SG/(NB_LQ_SG*'Regional data'!I44),"-")</f>
        <v>-</v>
      </c>
      <c r="Q104" s="142" t="str">
        <f>IF('Regional data'!M44&gt;0,'Regional data'!M44*Prod_SG*Size_dist_MQ_SG/(NB_MQ_SG*'Regional data'!J44),"-")</f>
        <v>-</v>
      </c>
      <c r="R104" s="142" t="str">
        <f>IF('Regional data'!N44&gt;0,'Regional data'!N44*Prod_SG*Size_dist_SQ_SG/(NB_SQ_SG*'Regional data'!K44),"-")</f>
        <v>-</v>
      </c>
      <c r="S104" s="195" t="str">
        <f t="shared" si="24"/>
        <v>-</v>
      </c>
      <c r="T104" s="196" t="str">
        <f t="shared" si="25"/>
        <v>-</v>
      </c>
      <c r="U104" s="198" t="str">
        <f t="shared" si="26"/>
        <v>-</v>
      </c>
      <c r="V104" s="191" t="str">
        <f t="shared" si="27"/>
        <v>-</v>
      </c>
      <c r="W104" s="142" t="str">
        <f t="shared" si="28"/>
        <v>-</v>
      </c>
      <c r="X104" s="192" t="str">
        <f t="shared" si="29"/>
        <v>-</v>
      </c>
      <c r="Y104" s="191" t="str">
        <f>IF(V104="-","-",V104*NB_LQ_SG*'Regional data'!I44)</f>
        <v>-</v>
      </c>
      <c r="Z104" s="142" t="str">
        <f>IF(W104="-","-",W104*NB_MQ_SG*'Regional data'!J44)</f>
        <v>-</v>
      </c>
      <c r="AA104" s="192" t="str">
        <f>IF(X104="-","-",X104*NB_SQ_SG*'Regional data'!K44)</f>
        <v>-</v>
      </c>
      <c r="AB104" s="141" t="str">
        <f>IF('Regional data'!R44&gt;0,'Regional data'!R44*Prod_RA*Size_dist_LQ_RA/(NB_LQ_RA*'Regional data'!O44),"-")</f>
        <v>-</v>
      </c>
      <c r="AC104" s="142" t="str">
        <f>IF('Regional data'!S44&gt;0,'Regional data'!S44*Prod_RA*Size_dist_MQ_RA/(NB_MQ_RA*'Regional data'!P44),"-")</f>
        <v>-</v>
      </c>
      <c r="AD104" s="142" t="str">
        <f>IF('Regional data'!T44&gt;0,'Regional data'!T44*Prod_RA*Size_dist_SQ_RA/(NB_SQ_RA*'Regional data'!Q44),"-")</f>
        <v>-</v>
      </c>
      <c r="AE104" s="195" t="str">
        <f t="shared" si="30"/>
        <v>-</v>
      </c>
      <c r="AF104" s="196" t="str">
        <f t="shared" si="31"/>
        <v>-</v>
      </c>
      <c r="AG104" s="198" t="str">
        <f t="shared" si="32"/>
        <v>-</v>
      </c>
      <c r="AH104" s="191" t="str">
        <f t="shared" si="33"/>
        <v>-</v>
      </c>
      <c r="AI104" s="142" t="str">
        <f t="shared" si="34"/>
        <v>-</v>
      </c>
      <c r="AJ104" s="192" t="str">
        <f t="shared" si="35"/>
        <v>-</v>
      </c>
      <c r="AK104" s="82" t="str">
        <f>IF(AH104="-","-",AH104*NB_LQ_RA*'Regional data'!O44)</f>
        <v>-</v>
      </c>
      <c r="AL104" s="142" t="str">
        <f>IF(AI104="-","-",AI104*NB_MQ_RA*'Regional data'!P44)</f>
        <v>-</v>
      </c>
      <c r="AM104" s="134" t="str">
        <f>IF(AJ104="-","-",AJ104*NB_SQ_RA*'Regional data'!Q44)</f>
        <v>-</v>
      </c>
    </row>
    <row r="105" spans="2:39" x14ac:dyDescent="0.25">
      <c r="B105" s="80">
        <f>'Regional data'!B45</f>
        <v>0</v>
      </c>
      <c r="C105" s="85">
        <f>Coeff_wind_Erosion_CR*(365*(365-'Regional data'!V45)/235)*('Regional data'!W45/365*100/15)*1000</f>
        <v>0</v>
      </c>
      <c r="D105" s="142" t="str">
        <f>IF('Regional data'!F45&gt;0,'Regional data'!F45*Prod_CR*Size_dist_LQ_CR/(NB_LQ_CR*'Regional data'!C45),"-")</f>
        <v>-</v>
      </c>
      <c r="E105" s="142" t="str">
        <f>IF('Regional data'!G45&gt;0,'Regional data'!G45*Prod_CR*Size_dist_MQ_CR/(NB_MQ_CR*'Regional data'!D45),"-")</f>
        <v>-</v>
      </c>
      <c r="F105" s="142" t="str">
        <f>IF('Regional data'!H45&gt;0,'Regional data'!H45*Prod_CR*Size_dist_SQ_CR/(NB_SQ_CR*'Regional data'!E45),"-")</f>
        <v>-</v>
      </c>
      <c r="G105" s="195" t="str">
        <f t="shared" si="18"/>
        <v>-</v>
      </c>
      <c r="H105" s="196" t="str">
        <f t="shared" si="19"/>
        <v>-</v>
      </c>
      <c r="I105" s="198" t="str">
        <f t="shared" si="20"/>
        <v>-</v>
      </c>
      <c r="J105" s="191" t="str">
        <f t="shared" si="21"/>
        <v>-</v>
      </c>
      <c r="K105" s="142" t="str">
        <f t="shared" si="22"/>
        <v>-</v>
      </c>
      <c r="L105" s="192" t="str">
        <f t="shared" si="23"/>
        <v>-</v>
      </c>
      <c r="M105" s="142" t="str">
        <f>IF(J105="-","-",J105*NB_LQ_CR*'Regional data'!C45)</f>
        <v>-</v>
      </c>
      <c r="N105" s="142" t="str">
        <f>IF(K105="-","-",K105*NB_MQ_CR*'Regional data'!D45)</f>
        <v>-</v>
      </c>
      <c r="O105" s="142" t="str">
        <f>IF(L105="-","-",L105*NB_SQ_CR*'Regional data'!E45)</f>
        <v>-</v>
      </c>
      <c r="P105" s="141" t="str">
        <f>IF('Regional data'!L45&gt;0,'Regional data'!L45*Prod_CR*Size_dist_LQ_SG/(NB_LQ_SG*'Regional data'!I45),"-")</f>
        <v>-</v>
      </c>
      <c r="Q105" s="142" t="str">
        <f>IF('Regional data'!M45&gt;0,'Regional data'!M45*Prod_SG*Size_dist_MQ_SG/(NB_MQ_SG*'Regional data'!J45),"-")</f>
        <v>-</v>
      </c>
      <c r="R105" s="142" t="str">
        <f>IF('Regional data'!N45&gt;0,'Regional data'!N45*Prod_SG*Size_dist_SQ_SG/(NB_SQ_SG*'Regional data'!K45),"-")</f>
        <v>-</v>
      </c>
      <c r="S105" s="195" t="str">
        <f t="shared" si="24"/>
        <v>-</v>
      </c>
      <c r="T105" s="196" t="str">
        <f t="shared" si="25"/>
        <v>-</v>
      </c>
      <c r="U105" s="198" t="str">
        <f t="shared" si="26"/>
        <v>-</v>
      </c>
      <c r="V105" s="191" t="str">
        <f t="shared" si="27"/>
        <v>-</v>
      </c>
      <c r="W105" s="142" t="str">
        <f t="shared" si="28"/>
        <v>-</v>
      </c>
      <c r="X105" s="192" t="str">
        <f t="shared" si="29"/>
        <v>-</v>
      </c>
      <c r="Y105" s="191" t="str">
        <f>IF(V105="-","-",V105*NB_LQ_SG*'Regional data'!I45)</f>
        <v>-</v>
      </c>
      <c r="Z105" s="142" t="str">
        <f>IF(W105="-","-",W105*NB_MQ_SG*'Regional data'!J45)</f>
        <v>-</v>
      </c>
      <c r="AA105" s="192" t="str">
        <f>IF(X105="-","-",X105*NB_SQ_SG*'Regional data'!K45)</f>
        <v>-</v>
      </c>
      <c r="AB105" s="141" t="str">
        <f>IF('Regional data'!R45&gt;0,'Regional data'!R45*Prod_RA*Size_dist_LQ_RA/(NB_LQ_RA*'Regional data'!O45),"-")</f>
        <v>-</v>
      </c>
      <c r="AC105" s="142" t="str">
        <f>IF('Regional data'!S45&gt;0,'Regional data'!S45*Prod_RA*Size_dist_MQ_RA/(NB_MQ_RA*'Regional data'!P45),"-")</f>
        <v>-</v>
      </c>
      <c r="AD105" s="142" t="str">
        <f>IF('Regional data'!T45&gt;0,'Regional data'!T45*Prod_RA*Size_dist_SQ_RA/(NB_SQ_RA*'Regional data'!Q45),"-")</f>
        <v>-</v>
      </c>
      <c r="AE105" s="195" t="str">
        <f t="shared" si="30"/>
        <v>-</v>
      </c>
      <c r="AF105" s="196" t="str">
        <f t="shared" si="31"/>
        <v>-</v>
      </c>
      <c r="AG105" s="198" t="str">
        <f t="shared" si="32"/>
        <v>-</v>
      </c>
      <c r="AH105" s="191" t="str">
        <f t="shared" si="33"/>
        <v>-</v>
      </c>
      <c r="AI105" s="142" t="str">
        <f t="shared" si="34"/>
        <v>-</v>
      </c>
      <c r="AJ105" s="192" t="str">
        <f t="shared" si="35"/>
        <v>-</v>
      </c>
      <c r="AK105" s="82" t="str">
        <f>IF(AH105="-","-",AH105*NB_LQ_RA*'Regional data'!O45)</f>
        <v>-</v>
      </c>
      <c r="AL105" s="142" t="str">
        <f>IF(AI105="-","-",AI105*NB_MQ_RA*'Regional data'!P45)</f>
        <v>-</v>
      </c>
      <c r="AM105" s="134" t="str">
        <f>IF(AJ105="-","-",AJ105*NB_SQ_RA*'Regional data'!Q45)</f>
        <v>-</v>
      </c>
    </row>
    <row r="106" spans="2:39" x14ac:dyDescent="0.25">
      <c r="B106" s="80">
        <f>'Regional data'!B46</f>
        <v>0</v>
      </c>
      <c r="C106" s="85">
        <f>Coeff_wind_Erosion_CR*(365*(365-'Regional data'!V46)/235)*('Regional data'!W46/365*100/15)*1000</f>
        <v>0</v>
      </c>
      <c r="D106" s="142" t="str">
        <f>IF('Regional data'!F46&gt;0,'Regional data'!F46*Prod_CR*Size_dist_LQ_CR/(NB_LQ_CR*'Regional data'!C46),"-")</f>
        <v>-</v>
      </c>
      <c r="E106" s="142" t="str">
        <f>IF('Regional data'!G46&gt;0,'Regional data'!G46*Prod_CR*Size_dist_MQ_CR/(NB_MQ_CR*'Regional data'!D46),"-")</f>
        <v>-</v>
      </c>
      <c r="F106" s="142" t="str">
        <f>IF('Regional data'!H46&gt;0,'Regional data'!H46*Prod_CR*Size_dist_SQ_CR/(NB_SQ_CR*'Regional data'!E46),"-")</f>
        <v>-</v>
      </c>
      <c r="G106" s="195" t="str">
        <f t="shared" si="18"/>
        <v>-</v>
      </c>
      <c r="H106" s="196" t="str">
        <f t="shared" si="19"/>
        <v>-</v>
      </c>
      <c r="I106" s="198" t="str">
        <f t="shared" si="20"/>
        <v>-</v>
      </c>
      <c r="J106" s="191" t="str">
        <f t="shared" si="21"/>
        <v>-</v>
      </c>
      <c r="K106" s="142" t="str">
        <f t="shared" si="22"/>
        <v>-</v>
      </c>
      <c r="L106" s="192" t="str">
        <f t="shared" si="23"/>
        <v>-</v>
      </c>
      <c r="M106" s="142" t="str">
        <f>IF(J106="-","-",J106*NB_LQ_CR*'Regional data'!C46)</f>
        <v>-</v>
      </c>
      <c r="N106" s="142" t="str">
        <f>IF(K106="-","-",K106*NB_MQ_CR*'Regional data'!D46)</f>
        <v>-</v>
      </c>
      <c r="O106" s="142" t="str">
        <f>IF(L106="-","-",L106*NB_SQ_CR*'Regional data'!E46)</f>
        <v>-</v>
      </c>
      <c r="P106" s="141" t="str">
        <f>IF('Regional data'!L46&gt;0,'Regional data'!L46*Prod_CR*Size_dist_LQ_SG/(NB_LQ_SG*'Regional data'!I46),"-")</f>
        <v>-</v>
      </c>
      <c r="Q106" s="142" t="str">
        <f>IF('Regional data'!M46&gt;0,'Regional data'!M46*Prod_SG*Size_dist_MQ_SG/(NB_MQ_SG*'Regional data'!J46),"-")</f>
        <v>-</v>
      </c>
      <c r="R106" s="142" t="str">
        <f>IF('Regional data'!N46&gt;0,'Regional data'!N46*Prod_SG*Size_dist_SQ_SG/(NB_SQ_SG*'Regional data'!K46),"-")</f>
        <v>-</v>
      </c>
      <c r="S106" s="195" t="str">
        <f t="shared" si="24"/>
        <v>-</v>
      </c>
      <c r="T106" s="196" t="str">
        <f t="shared" si="25"/>
        <v>-</v>
      </c>
      <c r="U106" s="198" t="str">
        <f t="shared" si="26"/>
        <v>-</v>
      </c>
      <c r="V106" s="191" t="str">
        <f t="shared" si="27"/>
        <v>-</v>
      </c>
      <c r="W106" s="142" t="str">
        <f t="shared" si="28"/>
        <v>-</v>
      </c>
      <c r="X106" s="192" t="str">
        <f t="shared" si="29"/>
        <v>-</v>
      </c>
      <c r="Y106" s="191" t="str">
        <f>IF(V106="-","-",V106*NB_LQ_SG*'Regional data'!I46)</f>
        <v>-</v>
      </c>
      <c r="Z106" s="142" t="str">
        <f>IF(W106="-","-",W106*NB_MQ_SG*'Regional data'!J46)</f>
        <v>-</v>
      </c>
      <c r="AA106" s="192" t="str">
        <f>IF(X106="-","-",X106*NB_SQ_SG*'Regional data'!K46)</f>
        <v>-</v>
      </c>
      <c r="AB106" s="141" t="str">
        <f>IF('Regional data'!R46&gt;0,'Regional data'!R46*Prod_RA*Size_dist_LQ_RA/(NB_LQ_RA*'Regional data'!O46),"-")</f>
        <v>-</v>
      </c>
      <c r="AC106" s="142" t="str">
        <f>IF('Regional data'!S46&gt;0,'Regional data'!S46*Prod_RA*Size_dist_MQ_RA/(NB_MQ_RA*'Regional data'!P46),"-")</f>
        <v>-</v>
      </c>
      <c r="AD106" s="142" t="str">
        <f>IF('Regional data'!T46&gt;0,'Regional data'!T46*Prod_RA*Size_dist_SQ_RA/(NB_SQ_RA*'Regional data'!Q46),"-")</f>
        <v>-</v>
      </c>
      <c r="AE106" s="195" t="str">
        <f t="shared" si="30"/>
        <v>-</v>
      </c>
      <c r="AF106" s="196" t="str">
        <f t="shared" si="31"/>
        <v>-</v>
      </c>
      <c r="AG106" s="198" t="str">
        <f t="shared" si="32"/>
        <v>-</v>
      </c>
      <c r="AH106" s="191" t="str">
        <f t="shared" si="33"/>
        <v>-</v>
      </c>
      <c r="AI106" s="142" t="str">
        <f t="shared" si="34"/>
        <v>-</v>
      </c>
      <c r="AJ106" s="192" t="str">
        <f t="shared" si="35"/>
        <v>-</v>
      </c>
      <c r="AK106" s="82" t="str">
        <f>IF(AH106="-","-",AH106*NB_LQ_RA*'Regional data'!O46)</f>
        <v>-</v>
      </c>
      <c r="AL106" s="142" t="str">
        <f>IF(AI106="-","-",AI106*NB_MQ_RA*'Regional data'!P46)</f>
        <v>-</v>
      </c>
      <c r="AM106" s="134" t="str">
        <f>IF(AJ106="-","-",AJ106*NB_SQ_RA*'Regional data'!Q46)</f>
        <v>-</v>
      </c>
    </row>
    <row r="107" spans="2:39" x14ac:dyDescent="0.25">
      <c r="B107" s="80">
        <f>'Regional data'!B47</f>
        <v>0</v>
      </c>
      <c r="C107" s="85">
        <f>Coeff_wind_Erosion_CR*(365*(365-'Regional data'!V47)/235)*('Regional data'!W47/365*100/15)*1000</f>
        <v>0</v>
      </c>
      <c r="D107" s="142" t="str">
        <f>IF('Regional data'!F47&gt;0,'Regional data'!F47*Prod_CR*Size_dist_LQ_CR/(NB_LQ_CR*'Regional data'!C47),"-")</f>
        <v>-</v>
      </c>
      <c r="E107" s="142" t="str">
        <f>IF('Regional data'!G47&gt;0,'Regional data'!G47*Prod_CR*Size_dist_MQ_CR/(NB_MQ_CR*'Regional data'!D47),"-")</f>
        <v>-</v>
      </c>
      <c r="F107" s="142" t="str">
        <f>IF('Regional data'!H47&gt;0,'Regional data'!H47*Prod_CR*Size_dist_SQ_CR/(NB_SQ_CR*'Regional data'!E47),"-")</f>
        <v>-</v>
      </c>
      <c r="G107" s="195" t="str">
        <f t="shared" si="18"/>
        <v>-</v>
      </c>
      <c r="H107" s="196" t="str">
        <f t="shared" si="19"/>
        <v>-</v>
      </c>
      <c r="I107" s="198" t="str">
        <f t="shared" si="20"/>
        <v>-</v>
      </c>
      <c r="J107" s="191" t="str">
        <f t="shared" si="21"/>
        <v>-</v>
      </c>
      <c r="K107" s="142" t="str">
        <f t="shared" si="22"/>
        <v>-</v>
      </c>
      <c r="L107" s="192" t="str">
        <f t="shared" si="23"/>
        <v>-</v>
      </c>
      <c r="M107" s="142" t="str">
        <f>IF(J107="-","-",J107*NB_LQ_CR*'Regional data'!C47)</f>
        <v>-</v>
      </c>
      <c r="N107" s="142" t="str">
        <f>IF(K107="-","-",K107*NB_MQ_CR*'Regional data'!D47)</f>
        <v>-</v>
      </c>
      <c r="O107" s="142" t="str">
        <f>IF(L107="-","-",L107*NB_SQ_CR*'Regional data'!E47)</f>
        <v>-</v>
      </c>
      <c r="P107" s="141" t="str">
        <f>IF('Regional data'!L47&gt;0,'Regional data'!L47*Prod_CR*Size_dist_LQ_SG/(NB_LQ_SG*'Regional data'!I47),"-")</f>
        <v>-</v>
      </c>
      <c r="Q107" s="142" t="str">
        <f>IF('Regional data'!M47&gt;0,'Regional data'!M47*Prod_SG*Size_dist_MQ_SG/(NB_MQ_SG*'Regional data'!J47),"-")</f>
        <v>-</v>
      </c>
      <c r="R107" s="142" t="str">
        <f>IF('Regional data'!N47&gt;0,'Regional data'!N47*Prod_SG*Size_dist_SQ_SG/(NB_SQ_SG*'Regional data'!K47),"-")</f>
        <v>-</v>
      </c>
      <c r="S107" s="195" t="str">
        <f t="shared" si="24"/>
        <v>-</v>
      </c>
      <c r="T107" s="196" t="str">
        <f t="shared" si="25"/>
        <v>-</v>
      </c>
      <c r="U107" s="198" t="str">
        <f t="shared" si="26"/>
        <v>-</v>
      </c>
      <c r="V107" s="191" t="str">
        <f t="shared" si="27"/>
        <v>-</v>
      </c>
      <c r="W107" s="142" t="str">
        <f t="shared" si="28"/>
        <v>-</v>
      </c>
      <c r="X107" s="192" t="str">
        <f t="shared" si="29"/>
        <v>-</v>
      </c>
      <c r="Y107" s="191" t="str">
        <f>IF(V107="-","-",V107*NB_LQ_SG*'Regional data'!I47)</f>
        <v>-</v>
      </c>
      <c r="Z107" s="142" t="str">
        <f>IF(W107="-","-",W107*NB_MQ_SG*'Regional data'!J47)</f>
        <v>-</v>
      </c>
      <c r="AA107" s="192" t="str">
        <f>IF(X107="-","-",X107*NB_SQ_SG*'Regional data'!K47)</f>
        <v>-</v>
      </c>
      <c r="AB107" s="141" t="str">
        <f>IF('Regional data'!R47&gt;0,'Regional data'!R47*Prod_RA*Size_dist_LQ_RA/(NB_LQ_RA*'Regional data'!O47),"-")</f>
        <v>-</v>
      </c>
      <c r="AC107" s="142" t="str">
        <f>IF('Regional data'!S47&gt;0,'Regional data'!S47*Prod_RA*Size_dist_MQ_RA/(NB_MQ_RA*'Regional data'!P47),"-")</f>
        <v>-</v>
      </c>
      <c r="AD107" s="142" t="str">
        <f>IF('Regional data'!T47&gt;0,'Regional data'!T47*Prod_RA*Size_dist_SQ_RA/(NB_SQ_RA*'Regional data'!Q47),"-")</f>
        <v>-</v>
      </c>
      <c r="AE107" s="195" t="str">
        <f t="shared" si="30"/>
        <v>-</v>
      </c>
      <c r="AF107" s="196" t="str">
        <f t="shared" si="31"/>
        <v>-</v>
      </c>
      <c r="AG107" s="198" t="str">
        <f t="shared" si="32"/>
        <v>-</v>
      </c>
      <c r="AH107" s="191" t="str">
        <f t="shared" si="33"/>
        <v>-</v>
      </c>
      <c r="AI107" s="142" t="str">
        <f t="shared" si="34"/>
        <v>-</v>
      </c>
      <c r="AJ107" s="192" t="str">
        <f t="shared" si="35"/>
        <v>-</v>
      </c>
      <c r="AK107" s="82" t="str">
        <f>IF(AH107="-","-",AH107*NB_LQ_RA*'Regional data'!O47)</f>
        <v>-</v>
      </c>
      <c r="AL107" s="142" t="str">
        <f>IF(AI107="-","-",AI107*NB_MQ_RA*'Regional data'!P47)</f>
        <v>-</v>
      </c>
      <c r="AM107" s="134" t="str">
        <f>IF(AJ107="-","-",AJ107*NB_SQ_RA*'Regional data'!Q47)</f>
        <v>-</v>
      </c>
    </row>
    <row r="108" spans="2:39" x14ac:dyDescent="0.25">
      <c r="B108" s="80">
        <f>'Regional data'!B48</f>
        <v>0</v>
      </c>
      <c r="C108" s="85">
        <f>Coeff_wind_Erosion_CR*(365*(365-'Regional data'!V48)/235)*('Regional data'!W48/365*100/15)*1000</f>
        <v>0</v>
      </c>
      <c r="D108" s="142" t="str">
        <f>IF('Regional data'!F48&gt;0,'Regional data'!F48*Prod_CR*Size_dist_LQ_CR/(NB_LQ_CR*'Regional data'!C48),"-")</f>
        <v>-</v>
      </c>
      <c r="E108" s="142" t="str">
        <f>IF('Regional data'!G48&gt;0,'Regional data'!G48*Prod_CR*Size_dist_MQ_CR/(NB_MQ_CR*'Regional data'!D48),"-")</f>
        <v>-</v>
      </c>
      <c r="F108" s="142" t="str">
        <f>IF('Regional data'!H48&gt;0,'Regional data'!H48*Prod_CR*Size_dist_SQ_CR/(NB_SQ_CR*'Regional data'!E48),"-")</f>
        <v>-</v>
      </c>
      <c r="G108" s="195" t="str">
        <f t="shared" si="18"/>
        <v>-</v>
      </c>
      <c r="H108" s="196" t="str">
        <f t="shared" si="19"/>
        <v>-</v>
      </c>
      <c r="I108" s="198" t="str">
        <f t="shared" si="20"/>
        <v>-</v>
      </c>
      <c r="J108" s="191" t="str">
        <f t="shared" si="21"/>
        <v>-</v>
      </c>
      <c r="K108" s="142" t="str">
        <f t="shared" si="22"/>
        <v>-</v>
      </c>
      <c r="L108" s="192" t="str">
        <f t="shared" si="23"/>
        <v>-</v>
      </c>
      <c r="M108" s="142" t="str">
        <f>IF(J108="-","-",J108*NB_LQ_CR*'Regional data'!C48)</f>
        <v>-</v>
      </c>
      <c r="N108" s="142" t="str">
        <f>IF(K108="-","-",K108*NB_MQ_CR*'Regional data'!D48)</f>
        <v>-</v>
      </c>
      <c r="O108" s="142" t="str">
        <f>IF(L108="-","-",L108*NB_SQ_CR*'Regional data'!E48)</f>
        <v>-</v>
      </c>
      <c r="P108" s="141" t="str">
        <f>IF('Regional data'!L48&gt;0,'Regional data'!L48*Prod_CR*Size_dist_LQ_SG/(NB_LQ_SG*'Regional data'!I48),"-")</f>
        <v>-</v>
      </c>
      <c r="Q108" s="142" t="str">
        <f>IF('Regional data'!M48&gt;0,'Regional data'!M48*Prod_SG*Size_dist_MQ_SG/(NB_MQ_SG*'Regional data'!J48),"-")</f>
        <v>-</v>
      </c>
      <c r="R108" s="142" t="str">
        <f>IF('Regional data'!N48&gt;0,'Regional data'!N48*Prod_SG*Size_dist_SQ_SG/(NB_SQ_SG*'Regional data'!K48),"-")</f>
        <v>-</v>
      </c>
      <c r="S108" s="195" t="str">
        <f t="shared" si="24"/>
        <v>-</v>
      </c>
      <c r="T108" s="196" t="str">
        <f t="shared" si="25"/>
        <v>-</v>
      </c>
      <c r="U108" s="198" t="str">
        <f t="shared" si="26"/>
        <v>-</v>
      </c>
      <c r="V108" s="191" t="str">
        <f t="shared" si="27"/>
        <v>-</v>
      </c>
      <c r="W108" s="142" t="str">
        <f t="shared" si="28"/>
        <v>-</v>
      </c>
      <c r="X108" s="192" t="str">
        <f t="shared" si="29"/>
        <v>-</v>
      </c>
      <c r="Y108" s="191" t="str">
        <f>IF(V108="-","-",V108*NB_LQ_SG*'Regional data'!I48)</f>
        <v>-</v>
      </c>
      <c r="Z108" s="142" t="str">
        <f>IF(W108="-","-",W108*NB_MQ_SG*'Regional data'!J48)</f>
        <v>-</v>
      </c>
      <c r="AA108" s="192" t="str">
        <f>IF(X108="-","-",X108*NB_SQ_SG*'Regional data'!K48)</f>
        <v>-</v>
      </c>
      <c r="AB108" s="141" t="str">
        <f>IF('Regional data'!R48&gt;0,'Regional data'!R48*Prod_RA*Size_dist_LQ_RA/(NB_LQ_RA*'Regional data'!O48),"-")</f>
        <v>-</v>
      </c>
      <c r="AC108" s="142" t="str">
        <f>IF('Regional data'!S48&gt;0,'Regional data'!S48*Prod_RA*Size_dist_MQ_RA/(NB_MQ_RA*'Regional data'!P48),"-")</f>
        <v>-</v>
      </c>
      <c r="AD108" s="142" t="str">
        <f>IF('Regional data'!T48&gt;0,'Regional data'!T48*Prod_RA*Size_dist_SQ_RA/(NB_SQ_RA*'Regional data'!Q48),"-")</f>
        <v>-</v>
      </c>
      <c r="AE108" s="195" t="str">
        <f t="shared" si="30"/>
        <v>-</v>
      </c>
      <c r="AF108" s="196" t="str">
        <f t="shared" si="31"/>
        <v>-</v>
      </c>
      <c r="AG108" s="198" t="str">
        <f t="shared" si="32"/>
        <v>-</v>
      </c>
      <c r="AH108" s="191" t="str">
        <f t="shared" si="33"/>
        <v>-</v>
      </c>
      <c r="AI108" s="142" t="str">
        <f t="shared" si="34"/>
        <v>-</v>
      </c>
      <c r="AJ108" s="192" t="str">
        <f t="shared" si="35"/>
        <v>-</v>
      </c>
      <c r="AK108" s="82" t="str">
        <f>IF(AH108="-","-",AH108*NB_LQ_RA*'Regional data'!O48)</f>
        <v>-</v>
      </c>
      <c r="AL108" s="142" t="str">
        <f>IF(AI108="-","-",AI108*NB_MQ_RA*'Regional data'!P48)</f>
        <v>-</v>
      </c>
      <c r="AM108" s="134" t="str">
        <f>IF(AJ108="-","-",AJ108*NB_SQ_RA*'Regional data'!Q48)</f>
        <v>-</v>
      </c>
    </row>
    <row r="109" spans="2:39" x14ac:dyDescent="0.25">
      <c r="B109" s="80">
        <f>'Regional data'!B49</f>
        <v>0</v>
      </c>
      <c r="C109" s="85">
        <f>Coeff_wind_Erosion_CR*(365*(365-'Regional data'!V49)/235)*('Regional data'!W49/365*100/15)*1000</f>
        <v>0</v>
      </c>
      <c r="D109" s="142" t="str">
        <f>IF('Regional data'!F49&gt;0,'Regional data'!F49*Prod_CR*Size_dist_LQ_CR/(NB_LQ_CR*'Regional data'!C49),"-")</f>
        <v>-</v>
      </c>
      <c r="E109" s="142" t="str">
        <f>IF('Regional data'!G49&gt;0,'Regional data'!G49*Prod_CR*Size_dist_MQ_CR/(NB_MQ_CR*'Regional data'!D49),"-")</f>
        <v>-</v>
      </c>
      <c r="F109" s="142" t="str">
        <f>IF('Regional data'!H49&gt;0,'Regional data'!H49*Prod_CR*Size_dist_SQ_CR/(NB_SQ_CR*'Regional data'!E49),"-")</f>
        <v>-</v>
      </c>
      <c r="G109" s="195" t="str">
        <f t="shared" si="18"/>
        <v>-</v>
      </c>
      <c r="H109" s="196" t="str">
        <f t="shared" si="19"/>
        <v>-</v>
      </c>
      <c r="I109" s="198" t="str">
        <f t="shared" si="20"/>
        <v>-</v>
      </c>
      <c r="J109" s="191" t="str">
        <f t="shared" si="21"/>
        <v>-</v>
      </c>
      <c r="K109" s="142" t="str">
        <f t="shared" si="22"/>
        <v>-</v>
      </c>
      <c r="L109" s="192" t="str">
        <f t="shared" si="23"/>
        <v>-</v>
      </c>
      <c r="M109" s="142" t="str">
        <f>IF(J109="-","-",J109*NB_LQ_CR*'Regional data'!C49)</f>
        <v>-</v>
      </c>
      <c r="N109" s="142" t="str">
        <f>IF(K109="-","-",K109*NB_MQ_CR*'Regional data'!D49)</f>
        <v>-</v>
      </c>
      <c r="O109" s="142" t="str">
        <f>IF(L109="-","-",L109*NB_SQ_CR*'Regional data'!E49)</f>
        <v>-</v>
      </c>
      <c r="P109" s="141" t="str">
        <f>IF('Regional data'!L49&gt;0,'Regional data'!L49*Prod_CR*Size_dist_LQ_SG/(NB_LQ_SG*'Regional data'!I49),"-")</f>
        <v>-</v>
      </c>
      <c r="Q109" s="142" t="str">
        <f>IF('Regional data'!M49&gt;0,'Regional data'!M49*Prod_SG*Size_dist_MQ_SG/(NB_MQ_SG*'Regional data'!J49),"-")</f>
        <v>-</v>
      </c>
      <c r="R109" s="142" t="str">
        <f>IF('Regional data'!N49&gt;0,'Regional data'!N49*Prod_SG*Size_dist_SQ_SG/(NB_SQ_SG*'Regional data'!K49),"-")</f>
        <v>-</v>
      </c>
      <c r="S109" s="195" t="str">
        <f t="shared" si="24"/>
        <v>-</v>
      </c>
      <c r="T109" s="196" t="str">
        <f t="shared" si="25"/>
        <v>-</v>
      </c>
      <c r="U109" s="198" t="str">
        <f t="shared" si="26"/>
        <v>-</v>
      </c>
      <c r="V109" s="191" t="str">
        <f t="shared" si="27"/>
        <v>-</v>
      </c>
      <c r="W109" s="142" t="str">
        <f t="shared" si="28"/>
        <v>-</v>
      </c>
      <c r="X109" s="192" t="str">
        <f t="shared" si="29"/>
        <v>-</v>
      </c>
      <c r="Y109" s="191" t="str">
        <f>IF(V109="-","-",V109*NB_LQ_SG*'Regional data'!I49)</f>
        <v>-</v>
      </c>
      <c r="Z109" s="142" t="str">
        <f>IF(W109="-","-",W109*NB_MQ_SG*'Regional data'!J49)</f>
        <v>-</v>
      </c>
      <c r="AA109" s="192" t="str">
        <f>IF(X109="-","-",X109*NB_SQ_SG*'Regional data'!K49)</f>
        <v>-</v>
      </c>
      <c r="AB109" s="141" t="str">
        <f>IF('Regional data'!R49&gt;0,'Regional data'!R49*Prod_RA*Size_dist_LQ_RA/(NB_LQ_RA*'Regional data'!O49),"-")</f>
        <v>-</v>
      </c>
      <c r="AC109" s="142" t="str">
        <f>IF('Regional data'!S49&gt;0,'Regional data'!S49*Prod_RA*Size_dist_MQ_RA/(NB_MQ_RA*'Regional data'!P49),"-")</f>
        <v>-</v>
      </c>
      <c r="AD109" s="142" t="str">
        <f>IF('Regional data'!T49&gt;0,'Regional data'!T49*Prod_RA*Size_dist_SQ_RA/(NB_SQ_RA*'Regional data'!Q49),"-")</f>
        <v>-</v>
      </c>
      <c r="AE109" s="195" t="str">
        <f t="shared" si="30"/>
        <v>-</v>
      </c>
      <c r="AF109" s="196" t="str">
        <f t="shared" si="31"/>
        <v>-</v>
      </c>
      <c r="AG109" s="198" t="str">
        <f t="shared" si="32"/>
        <v>-</v>
      </c>
      <c r="AH109" s="191" t="str">
        <f t="shared" si="33"/>
        <v>-</v>
      </c>
      <c r="AI109" s="142" t="str">
        <f t="shared" si="34"/>
        <v>-</v>
      </c>
      <c r="AJ109" s="192" t="str">
        <f t="shared" si="35"/>
        <v>-</v>
      </c>
      <c r="AK109" s="82" t="str">
        <f>IF(AH109="-","-",AH109*NB_LQ_RA*'Regional data'!O49)</f>
        <v>-</v>
      </c>
      <c r="AL109" s="142" t="str">
        <f>IF(AI109="-","-",AI109*NB_MQ_RA*'Regional data'!P49)</f>
        <v>-</v>
      </c>
      <c r="AM109" s="134" t="str">
        <f>IF(AJ109="-","-",AJ109*NB_SQ_RA*'Regional data'!Q49)</f>
        <v>-</v>
      </c>
    </row>
    <row r="110" spans="2:39" x14ac:dyDescent="0.25">
      <c r="B110" s="80">
        <f>'Regional data'!B50</f>
        <v>0</v>
      </c>
      <c r="C110" s="85">
        <f>Coeff_wind_Erosion_CR*(365*(365-'Regional data'!V50)/235)*('Regional data'!W50/365*100/15)*1000</f>
        <v>0</v>
      </c>
      <c r="D110" s="142" t="str">
        <f>IF('Regional data'!F50&gt;0,'Regional data'!F50*Prod_CR*Size_dist_LQ_CR/(NB_LQ_CR*'Regional data'!C50),"-")</f>
        <v>-</v>
      </c>
      <c r="E110" s="142" t="str">
        <f>IF('Regional data'!G50&gt;0,'Regional data'!G50*Prod_CR*Size_dist_MQ_CR/(NB_MQ_CR*'Regional data'!D50),"-")</f>
        <v>-</v>
      </c>
      <c r="F110" s="142" t="str">
        <f>IF('Regional data'!H50&gt;0,'Regional data'!H50*Prod_CR*Size_dist_SQ_CR/(NB_SQ_CR*'Regional data'!E50),"-")</f>
        <v>-</v>
      </c>
      <c r="G110" s="195" t="str">
        <f t="shared" si="18"/>
        <v>-</v>
      </c>
      <c r="H110" s="196" t="str">
        <f t="shared" si="19"/>
        <v>-</v>
      </c>
      <c r="I110" s="198" t="str">
        <f t="shared" si="20"/>
        <v>-</v>
      </c>
      <c r="J110" s="191" t="str">
        <f t="shared" si="21"/>
        <v>-</v>
      </c>
      <c r="K110" s="142" t="str">
        <f t="shared" si="22"/>
        <v>-</v>
      </c>
      <c r="L110" s="192" t="str">
        <f t="shared" si="23"/>
        <v>-</v>
      </c>
      <c r="M110" s="142" t="str">
        <f>IF(J110="-","-",J110*NB_LQ_CR*'Regional data'!C50)</f>
        <v>-</v>
      </c>
      <c r="N110" s="142" t="str">
        <f>IF(K110="-","-",K110*NB_MQ_CR*'Regional data'!D50)</f>
        <v>-</v>
      </c>
      <c r="O110" s="142" t="str">
        <f>IF(L110="-","-",L110*NB_SQ_CR*'Regional data'!E50)</f>
        <v>-</v>
      </c>
      <c r="P110" s="141" t="str">
        <f>IF('Regional data'!L50&gt;0,'Regional data'!L50*Prod_CR*Size_dist_LQ_SG/(NB_LQ_SG*'Regional data'!I50),"-")</f>
        <v>-</v>
      </c>
      <c r="Q110" s="142" t="str">
        <f>IF('Regional data'!M50&gt;0,'Regional data'!M50*Prod_SG*Size_dist_MQ_SG/(NB_MQ_SG*'Regional data'!J50),"-")</f>
        <v>-</v>
      </c>
      <c r="R110" s="142" t="str">
        <f>IF('Regional data'!N50&gt;0,'Regional data'!N50*Prod_SG*Size_dist_SQ_SG/(NB_SQ_SG*'Regional data'!K50),"-")</f>
        <v>-</v>
      </c>
      <c r="S110" s="195" t="str">
        <f t="shared" si="24"/>
        <v>-</v>
      </c>
      <c r="T110" s="196" t="str">
        <f t="shared" si="25"/>
        <v>-</v>
      </c>
      <c r="U110" s="198" t="str">
        <f t="shared" si="26"/>
        <v>-</v>
      </c>
      <c r="V110" s="191" t="str">
        <f t="shared" si="27"/>
        <v>-</v>
      </c>
      <c r="W110" s="142" t="str">
        <f t="shared" si="28"/>
        <v>-</v>
      </c>
      <c r="X110" s="192" t="str">
        <f t="shared" si="29"/>
        <v>-</v>
      </c>
      <c r="Y110" s="191" t="str">
        <f>IF(V110="-","-",V110*NB_LQ_SG*'Regional data'!I50)</f>
        <v>-</v>
      </c>
      <c r="Z110" s="142" t="str">
        <f>IF(W110="-","-",W110*NB_MQ_SG*'Regional data'!J50)</f>
        <v>-</v>
      </c>
      <c r="AA110" s="192" t="str">
        <f>IF(X110="-","-",X110*NB_SQ_SG*'Regional data'!K50)</f>
        <v>-</v>
      </c>
      <c r="AB110" s="141" t="str">
        <f>IF('Regional data'!R50&gt;0,'Regional data'!R50*Prod_RA*Size_dist_LQ_RA/(NB_LQ_RA*'Regional data'!O50),"-")</f>
        <v>-</v>
      </c>
      <c r="AC110" s="142" t="str">
        <f>IF('Regional data'!S50&gt;0,'Regional data'!S50*Prod_RA*Size_dist_MQ_RA/(NB_MQ_RA*'Regional data'!P50),"-")</f>
        <v>-</v>
      </c>
      <c r="AD110" s="142" t="str">
        <f>IF('Regional data'!T50&gt;0,'Regional data'!T50*Prod_RA*Size_dist_SQ_RA/(NB_SQ_RA*'Regional data'!Q50),"-")</f>
        <v>-</v>
      </c>
      <c r="AE110" s="195" t="str">
        <f t="shared" si="30"/>
        <v>-</v>
      </c>
      <c r="AF110" s="196" t="str">
        <f t="shared" si="31"/>
        <v>-</v>
      </c>
      <c r="AG110" s="198" t="str">
        <f t="shared" si="32"/>
        <v>-</v>
      </c>
      <c r="AH110" s="191" t="str">
        <f t="shared" si="33"/>
        <v>-</v>
      </c>
      <c r="AI110" s="142" t="str">
        <f t="shared" si="34"/>
        <v>-</v>
      </c>
      <c r="AJ110" s="192" t="str">
        <f t="shared" si="35"/>
        <v>-</v>
      </c>
      <c r="AK110" s="82" t="str">
        <f>IF(AH110="-","-",AH110*NB_LQ_RA*'Regional data'!O50)</f>
        <v>-</v>
      </c>
      <c r="AL110" s="142" t="str">
        <f>IF(AI110="-","-",AI110*NB_MQ_RA*'Regional data'!P50)</f>
        <v>-</v>
      </c>
      <c r="AM110" s="134" t="str">
        <f>IF(AJ110="-","-",AJ110*NB_SQ_RA*'Regional data'!Q50)</f>
        <v>-</v>
      </c>
    </row>
    <row r="111" spans="2:39" x14ac:dyDescent="0.25">
      <c r="B111" s="80">
        <f>'Regional data'!B51</f>
        <v>0</v>
      </c>
      <c r="C111" s="85">
        <f>Coeff_wind_Erosion_CR*(365*(365-'Regional data'!V51)/235)*('Regional data'!W51/365*100/15)*1000</f>
        <v>0</v>
      </c>
      <c r="D111" s="142" t="str">
        <f>IF('Regional data'!F51&gt;0,'Regional data'!F51*Prod_CR*Size_dist_LQ_CR/(NB_LQ_CR*'Regional data'!C51),"-")</f>
        <v>-</v>
      </c>
      <c r="E111" s="142" t="str">
        <f>IF('Regional data'!G51&gt;0,'Regional data'!G51*Prod_CR*Size_dist_MQ_CR/(NB_MQ_CR*'Regional data'!D51),"-")</f>
        <v>-</v>
      </c>
      <c r="F111" s="142" t="str">
        <f>IF('Regional data'!H51&gt;0,'Regional data'!H51*Prod_CR*Size_dist_SQ_CR/(NB_SQ_CR*'Regional data'!E51),"-")</f>
        <v>-</v>
      </c>
      <c r="G111" s="195" t="str">
        <f t="shared" si="18"/>
        <v>-</v>
      </c>
      <c r="H111" s="196" t="str">
        <f t="shared" si="19"/>
        <v>-</v>
      </c>
      <c r="I111" s="198" t="str">
        <f t="shared" si="20"/>
        <v>-</v>
      </c>
      <c r="J111" s="191" t="str">
        <f t="shared" si="21"/>
        <v>-</v>
      </c>
      <c r="K111" s="142" t="str">
        <f t="shared" si="22"/>
        <v>-</v>
      </c>
      <c r="L111" s="192" t="str">
        <f t="shared" si="23"/>
        <v>-</v>
      </c>
      <c r="M111" s="142" t="str">
        <f>IF(J111="-","-",J111*NB_LQ_CR*'Regional data'!C51)</f>
        <v>-</v>
      </c>
      <c r="N111" s="142" t="str">
        <f>IF(K111="-","-",K111*NB_MQ_CR*'Regional data'!D51)</f>
        <v>-</v>
      </c>
      <c r="O111" s="142" t="str">
        <f>IF(L111="-","-",L111*NB_SQ_CR*'Regional data'!E51)</f>
        <v>-</v>
      </c>
      <c r="P111" s="141" t="str">
        <f>IF('Regional data'!L51&gt;0,'Regional data'!L51*Prod_CR*Size_dist_LQ_SG/(NB_LQ_SG*'Regional data'!I51),"-")</f>
        <v>-</v>
      </c>
      <c r="Q111" s="142" t="str">
        <f>IF('Regional data'!M51&gt;0,'Regional data'!M51*Prod_SG*Size_dist_MQ_SG/(NB_MQ_SG*'Regional data'!J51),"-")</f>
        <v>-</v>
      </c>
      <c r="R111" s="142" t="str">
        <f>IF('Regional data'!N51&gt;0,'Regional data'!N51*Prod_SG*Size_dist_SQ_SG/(NB_SQ_SG*'Regional data'!K51),"-")</f>
        <v>-</v>
      </c>
      <c r="S111" s="195" t="str">
        <f t="shared" si="24"/>
        <v>-</v>
      </c>
      <c r="T111" s="196" t="str">
        <f t="shared" si="25"/>
        <v>-</v>
      </c>
      <c r="U111" s="198" t="str">
        <f t="shared" si="26"/>
        <v>-</v>
      </c>
      <c r="V111" s="191" t="str">
        <f t="shared" si="27"/>
        <v>-</v>
      </c>
      <c r="W111" s="142" t="str">
        <f t="shared" si="28"/>
        <v>-</v>
      </c>
      <c r="X111" s="192" t="str">
        <f t="shared" si="29"/>
        <v>-</v>
      </c>
      <c r="Y111" s="191" t="str">
        <f>IF(V111="-","-",V111*NB_LQ_SG*'Regional data'!I51)</f>
        <v>-</v>
      </c>
      <c r="Z111" s="142" t="str">
        <f>IF(W111="-","-",W111*NB_MQ_SG*'Regional data'!J51)</f>
        <v>-</v>
      </c>
      <c r="AA111" s="192" t="str">
        <f>IF(X111="-","-",X111*NB_SQ_SG*'Regional data'!K51)</f>
        <v>-</v>
      </c>
      <c r="AB111" s="141" t="str">
        <f>IF('Regional data'!R51&gt;0,'Regional data'!R51*Prod_RA*Size_dist_LQ_RA/(NB_LQ_RA*'Regional data'!O51),"-")</f>
        <v>-</v>
      </c>
      <c r="AC111" s="142" t="str">
        <f>IF('Regional data'!S51&gt;0,'Regional data'!S51*Prod_RA*Size_dist_MQ_RA/(NB_MQ_RA*'Regional data'!P51),"-")</f>
        <v>-</v>
      </c>
      <c r="AD111" s="142" t="str">
        <f>IF('Regional data'!T51&gt;0,'Regional data'!T51*Prod_RA*Size_dist_SQ_RA/(NB_SQ_RA*'Regional data'!Q51),"-")</f>
        <v>-</v>
      </c>
      <c r="AE111" s="195" t="str">
        <f t="shared" si="30"/>
        <v>-</v>
      </c>
      <c r="AF111" s="196" t="str">
        <f t="shared" si="31"/>
        <v>-</v>
      </c>
      <c r="AG111" s="198" t="str">
        <f t="shared" si="32"/>
        <v>-</v>
      </c>
      <c r="AH111" s="191" t="str">
        <f t="shared" si="33"/>
        <v>-</v>
      </c>
      <c r="AI111" s="142" t="str">
        <f t="shared" si="34"/>
        <v>-</v>
      </c>
      <c r="AJ111" s="192" t="str">
        <f t="shared" si="35"/>
        <v>-</v>
      </c>
      <c r="AK111" s="82" t="str">
        <f>IF(AH111="-","-",AH111*NB_LQ_RA*'Regional data'!O51)</f>
        <v>-</v>
      </c>
      <c r="AL111" s="142" t="str">
        <f>IF(AI111="-","-",AI111*NB_MQ_RA*'Regional data'!P51)</f>
        <v>-</v>
      </c>
      <c r="AM111" s="134" t="str">
        <f>IF(AJ111="-","-",AJ111*NB_SQ_RA*'Regional data'!Q51)</f>
        <v>-</v>
      </c>
    </row>
    <row r="112" spans="2:39" x14ac:dyDescent="0.25">
      <c r="B112" s="80">
        <f>'Regional data'!B52</f>
        <v>0</v>
      </c>
      <c r="C112" s="85">
        <f>Coeff_wind_Erosion_CR*(365*(365-'Regional data'!V52)/235)*('Regional data'!W52/365*100/15)*1000</f>
        <v>0</v>
      </c>
      <c r="D112" s="142" t="str">
        <f>IF('Regional data'!F52&gt;0,'Regional data'!F52*Prod_CR*Size_dist_LQ_CR/(NB_LQ_CR*'Regional data'!C52),"-")</f>
        <v>-</v>
      </c>
      <c r="E112" s="142" t="str">
        <f>IF('Regional data'!G52&gt;0,'Regional data'!G52*Prod_CR*Size_dist_MQ_CR/(NB_MQ_CR*'Regional data'!D52),"-")</f>
        <v>-</v>
      </c>
      <c r="F112" s="142" t="str">
        <f>IF('Regional data'!H52&gt;0,'Regional data'!H52*Prod_CR*Size_dist_SQ_CR/(NB_SQ_CR*'Regional data'!E52),"-")</f>
        <v>-</v>
      </c>
      <c r="G112" s="195" t="str">
        <f t="shared" si="18"/>
        <v>-</v>
      </c>
      <c r="H112" s="196" t="str">
        <f t="shared" si="19"/>
        <v>-</v>
      </c>
      <c r="I112" s="198" t="str">
        <f t="shared" si="20"/>
        <v>-</v>
      </c>
      <c r="J112" s="191" t="str">
        <f t="shared" si="21"/>
        <v>-</v>
      </c>
      <c r="K112" s="142" t="str">
        <f t="shared" si="22"/>
        <v>-</v>
      </c>
      <c r="L112" s="192" t="str">
        <f t="shared" si="23"/>
        <v>-</v>
      </c>
      <c r="M112" s="142" t="str">
        <f>IF(J112="-","-",J112*NB_LQ_CR*'Regional data'!C52)</f>
        <v>-</v>
      </c>
      <c r="N112" s="142" t="str">
        <f>IF(K112="-","-",K112*NB_MQ_CR*'Regional data'!D52)</f>
        <v>-</v>
      </c>
      <c r="O112" s="142" t="str">
        <f>IF(L112="-","-",L112*NB_SQ_CR*'Regional data'!E52)</f>
        <v>-</v>
      </c>
      <c r="P112" s="141" t="str">
        <f>IF('Regional data'!L52&gt;0,'Regional data'!L52*Prod_CR*Size_dist_LQ_SG/(NB_LQ_SG*'Regional data'!I52),"-")</f>
        <v>-</v>
      </c>
      <c r="Q112" s="142" t="str">
        <f>IF('Regional data'!M52&gt;0,'Regional data'!M52*Prod_SG*Size_dist_MQ_SG/(NB_MQ_SG*'Regional data'!J52),"-")</f>
        <v>-</v>
      </c>
      <c r="R112" s="142" t="str">
        <f>IF('Regional data'!N52&gt;0,'Regional data'!N52*Prod_SG*Size_dist_SQ_SG/(NB_SQ_SG*'Regional data'!K52),"-")</f>
        <v>-</v>
      </c>
      <c r="S112" s="195" t="str">
        <f t="shared" si="24"/>
        <v>-</v>
      </c>
      <c r="T112" s="196" t="str">
        <f t="shared" si="25"/>
        <v>-</v>
      </c>
      <c r="U112" s="198" t="str">
        <f t="shared" si="26"/>
        <v>-</v>
      </c>
      <c r="V112" s="191" t="str">
        <f t="shared" si="27"/>
        <v>-</v>
      </c>
      <c r="W112" s="142" t="str">
        <f t="shared" si="28"/>
        <v>-</v>
      </c>
      <c r="X112" s="192" t="str">
        <f t="shared" si="29"/>
        <v>-</v>
      </c>
      <c r="Y112" s="191" t="str">
        <f>IF(V112="-","-",V112*NB_LQ_SG*'Regional data'!I52)</f>
        <v>-</v>
      </c>
      <c r="Z112" s="142" t="str">
        <f>IF(W112="-","-",W112*NB_MQ_SG*'Regional data'!J52)</f>
        <v>-</v>
      </c>
      <c r="AA112" s="192" t="str">
        <f>IF(X112="-","-",X112*NB_SQ_SG*'Regional data'!K52)</f>
        <v>-</v>
      </c>
      <c r="AB112" s="141" t="str">
        <f>IF('Regional data'!R52&gt;0,'Regional data'!R52*Prod_RA*Size_dist_LQ_RA/(NB_LQ_RA*'Regional data'!O52),"-")</f>
        <v>-</v>
      </c>
      <c r="AC112" s="142" t="str">
        <f>IF('Regional data'!S52&gt;0,'Regional data'!S52*Prod_RA*Size_dist_MQ_RA/(NB_MQ_RA*'Regional data'!P52),"-")</f>
        <v>-</v>
      </c>
      <c r="AD112" s="142" t="str">
        <f>IF('Regional data'!T52&gt;0,'Regional data'!T52*Prod_RA*Size_dist_SQ_RA/(NB_SQ_RA*'Regional data'!Q52),"-")</f>
        <v>-</v>
      </c>
      <c r="AE112" s="195" t="str">
        <f t="shared" si="30"/>
        <v>-</v>
      </c>
      <c r="AF112" s="196" t="str">
        <f t="shared" si="31"/>
        <v>-</v>
      </c>
      <c r="AG112" s="198" t="str">
        <f t="shared" si="32"/>
        <v>-</v>
      </c>
      <c r="AH112" s="191" t="str">
        <f t="shared" si="33"/>
        <v>-</v>
      </c>
      <c r="AI112" s="142" t="str">
        <f t="shared" si="34"/>
        <v>-</v>
      </c>
      <c r="AJ112" s="192" t="str">
        <f t="shared" si="35"/>
        <v>-</v>
      </c>
      <c r="AK112" s="82" t="str">
        <f>IF(AH112="-","-",AH112*NB_LQ_RA*'Regional data'!O52)</f>
        <v>-</v>
      </c>
      <c r="AL112" s="142" t="str">
        <f>IF(AI112="-","-",AI112*NB_MQ_RA*'Regional data'!P52)</f>
        <v>-</v>
      </c>
      <c r="AM112" s="134" t="str">
        <f>IF(AJ112="-","-",AJ112*NB_SQ_RA*'Regional data'!Q52)</f>
        <v>-</v>
      </c>
    </row>
    <row r="113" spans="2:39" x14ac:dyDescent="0.25">
      <c r="B113" s="80">
        <f>'Regional data'!B53</f>
        <v>0</v>
      </c>
      <c r="C113" s="85">
        <f>Coeff_wind_Erosion_CR*(365*(365-'Regional data'!V53)/235)*('Regional data'!W53/365*100/15)*1000</f>
        <v>0</v>
      </c>
      <c r="D113" s="142" t="str">
        <f>IF('Regional data'!F53&gt;0,'Regional data'!F53*Prod_CR*Size_dist_LQ_CR/(NB_LQ_CR*'Regional data'!C53),"-")</f>
        <v>-</v>
      </c>
      <c r="E113" s="142" t="str">
        <f>IF('Regional data'!G53&gt;0,'Regional data'!G53*Prod_CR*Size_dist_MQ_CR/(NB_MQ_CR*'Regional data'!D53),"-")</f>
        <v>-</v>
      </c>
      <c r="F113" s="142" t="str">
        <f>IF('Regional data'!H53&gt;0,'Regional data'!H53*Prod_CR*Size_dist_SQ_CR/(NB_SQ_CR*'Regional data'!E53),"-")</f>
        <v>-</v>
      </c>
      <c r="G113" s="195" t="str">
        <f t="shared" si="18"/>
        <v>-</v>
      </c>
      <c r="H113" s="196" t="str">
        <f t="shared" si="19"/>
        <v>-</v>
      </c>
      <c r="I113" s="198" t="str">
        <f t="shared" si="20"/>
        <v>-</v>
      </c>
      <c r="J113" s="191" t="str">
        <f t="shared" si="21"/>
        <v>-</v>
      </c>
      <c r="K113" s="142" t="str">
        <f t="shared" si="22"/>
        <v>-</v>
      </c>
      <c r="L113" s="192" t="str">
        <f t="shared" si="23"/>
        <v>-</v>
      </c>
      <c r="M113" s="142" t="str">
        <f>IF(J113="-","-",J113*NB_LQ_CR*'Regional data'!C53)</f>
        <v>-</v>
      </c>
      <c r="N113" s="142" t="str">
        <f>IF(K113="-","-",K113*NB_MQ_CR*'Regional data'!D53)</f>
        <v>-</v>
      </c>
      <c r="O113" s="142" t="str">
        <f>IF(L113="-","-",L113*NB_SQ_CR*'Regional data'!E53)</f>
        <v>-</v>
      </c>
      <c r="P113" s="141" t="str">
        <f>IF('Regional data'!L53&gt;0,'Regional data'!L53*Prod_CR*Size_dist_LQ_SG/(NB_LQ_SG*'Regional data'!I53),"-")</f>
        <v>-</v>
      </c>
      <c r="Q113" s="142" t="str">
        <f>IF('Regional data'!M53&gt;0,'Regional data'!M53*Prod_SG*Size_dist_MQ_SG/(NB_MQ_SG*'Regional data'!J53),"-")</f>
        <v>-</v>
      </c>
      <c r="R113" s="142" t="str">
        <f>IF('Regional data'!N53&gt;0,'Regional data'!N53*Prod_SG*Size_dist_SQ_SG/(NB_SQ_SG*'Regional data'!K53),"-")</f>
        <v>-</v>
      </c>
      <c r="S113" s="195" t="str">
        <f t="shared" si="24"/>
        <v>-</v>
      </c>
      <c r="T113" s="196" t="str">
        <f t="shared" si="25"/>
        <v>-</v>
      </c>
      <c r="U113" s="198" t="str">
        <f t="shared" si="26"/>
        <v>-</v>
      </c>
      <c r="V113" s="191" t="str">
        <f t="shared" si="27"/>
        <v>-</v>
      </c>
      <c r="W113" s="142" t="str">
        <f t="shared" si="28"/>
        <v>-</v>
      </c>
      <c r="X113" s="192" t="str">
        <f t="shared" si="29"/>
        <v>-</v>
      </c>
      <c r="Y113" s="191" t="str">
        <f>IF(V113="-","-",V113*NB_LQ_SG*'Regional data'!I53)</f>
        <v>-</v>
      </c>
      <c r="Z113" s="142" t="str">
        <f>IF(W113="-","-",W113*NB_MQ_SG*'Regional data'!J53)</f>
        <v>-</v>
      </c>
      <c r="AA113" s="192" t="str">
        <f>IF(X113="-","-",X113*NB_SQ_SG*'Regional data'!K53)</f>
        <v>-</v>
      </c>
      <c r="AB113" s="141" t="str">
        <f>IF('Regional data'!R53&gt;0,'Regional data'!R53*Prod_RA*Size_dist_LQ_RA/(NB_LQ_RA*'Regional data'!O53),"-")</f>
        <v>-</v>
      </c>
      <c r="AC113" s="142" t="str">
        <f>IF('Regional data'!S53&gt;0,'Regional data'!S53*Prod_RA*Size_dist_MQ_RA/(NB_MQ_RA*'Regional data'!P53),"-")</f>
        <v>-</v>
      </c>
      <c r="AD113" s="142" t="str">
        <f>IF('Regional data'!T53&gt;0,'Regional data'!T53*Prod_RA*Size_dist_SQ_RA/(NB_SQ_RA*'Regional data'!Q53),"-")</f>
        <v>-</v>
      </c>
      <c r="AE113" s="195" t="str">
        <f t="shared" si="30"/>
        <v>-</v>
      </c>
      <c r="AF113" s="196" t="str">
        <f t="shared" si="31"/>
        <v>-</v>
      </c>
      <c r="AG113" s="198" t="str">
        <f t="shared" si="32"/>
        <v>-</v>
      </c>
      <c r="AH113" s="191" t="str">
        <f t="shared" si="33"/>
        <v>-</v>
      </c>
      <c r="AI113" s="142" t="str">
        <f t="shared" si="34"/>
        <v>-</v>
      </c>
      <c r="AJ113" s="192" t="str">
        <f t="shared" si="35"/>
        <v>-</v>
      </c>
      <c r="AK113" s="82" t="str">
        <f>IF(AH113="-","-",AH113*NB_LQ_RA*'Regional data'!O53)</f>
        <v>-</v>
      </c>
      <c r="AL113" s="142" t="str">
        <f>IF(AI113="-","-",AI113*NB_MQ_RA*'Regional data'!P53)</f>
        <v>-</v>
      </c>
      <c r="AM113" s="134" t="str">
        <f>IF(AJ113="-","-",AJ113*NB_SQ_RA*'Regional data'!Q53)</f>
        <v>-</v>
      </c>
    </row>
    <row r="114" spans="2:39" x14ac:dyDescent="0.25">
      <c r="B114" s="80">
        <f>'Regional data'!B54</f>
        <v>0</v>
      </c>
      <c r="C114" s="85">
        <f>Coeff_wind_Erosion_CR*(365*(365-'Regional data'!V54)/235)*('Regional data'!W54/365*100/15)*1000</f>
        <v>0</v>
      </c>
      <c r="D114" s="142" t="str">
        <f>IF('Regional data'!F54&gt;0,'Regional data'!F54*Prod_CR*Size_dist_LQ_CR/(NB_LQ_CR*'Regional data'!C54),"-")</f>
        <v>-</v>
      </c>
      <c r="E114" s="142" t="str">
        <f>IF('Regional data'!G54&gt;0,'Regional data'!G54*Prod_CR*Size_dist_MQ_CR/(NB_MQ_CR*'Regional data'!D54),"-")</f>
        <v>-</v>
      </c>
      <c r="F114" s="142" t="str">
        <f>IF('Regional data'!H54&gt;0,'Regional data'!H54*Prod_CR*Size_dist_SQ_CR/(NB_SQ_CR*'Regional data'!E54),"-")</f>
        <v>-</v>
      </c>
      <c r="G114" s="195" t="str">
        <f t="shared" si="18"/>
        <v>-</v>
      </c>
      <c r="H114" s="196" t="str">
        <f t="shared" si="19"/>
        <v>-</v>
      </c>
      <c r="I114" s="198" t="str">
        <f t="shared" si="20"/>
        <v>-</v>
      </c>
      <c r="J114" s="191" t="str">
        <f t="shared" si="21"/>
        <v>-</v>
      </c>
      <c r="K114" s="142" t="str">
        <f t="shared" si="22"/>
        <v>-</v>
      </c>
      <c r="L114" s="192" t="str">
        <f t="shared" si="23"/>
        <v>-</v>
      </c>
      <c r="M114" s="142" t="str">
        <f>IF(J114="-","-",J114*NB_LQ_CR*'Regional data'!C54)</f>
        <v>-</v>
      </c>
      <c r="N114" s="142" t="str">
        <f>IF(K114="-","-",K114*NB_MQ_CR*'Regional data'!D54)</f>
        <v>-</v>
      </c>
      <c r="O114" s="142" t="str">
        <f>IF(L114="-","-",L114*NB_SQ_CR*'Regional data'!E54)</f>
        <v>-</v>
      </c>
      <c r="P114" s="141" t="str">
        <f>IF('Regional data'!L54&gt;0,'Regional data'!L54*Prod_CR*Size_dist_LQ_SG/(NB_LQ_SG*'Regional data'!I54),"-")</f>
        <v>-</v>
      </c>
      <c r="Q114" s="142" t="str">
        <f>IF('Regional data'!M54&gt;0,'Regional data'!M54*Prod_SG*Size_dist_MQ_SG/(NB_MQ_SG*'Regional data'!J54),"-")</f>
        <v>-</v>
      </c>
      <c r="R114" s="142" t="str">
        <f>IF('Regional data'!N54&gt;0,'Regional data'!N54*Prod_SG*Size_dist_SQ_SG/(NB_SQ_SG*'Regional data'!K54),"-")</f>
        <v>-</v>
      </c>
      <c r="S114" s="195" t="str">
        <f t="shared" si="24"/>
        <v>-</v>
      </c>
      <c r="T114" s="196" t="str">
        <f t="shared" si="25"/>
        <v>-</v>
      </c>
      <c r="U114" s="198" t="str">
        <f t="shared" si="26"/>
        <v>-</v>
      </c>
      <c r="V114" s="191" t="str">
        <f t="shared" si="27"/>
        <v>-</v>
      </c>
      <c r="W114" s="142" t="str">
        <f t="shared" si="28"/>
        <v>-</v>
      </c>
      <c r="X114" s="192" t="str">
        <f t="shared" si="29"/>
        <v>-</v>
      </c>
      <c r="Y114" s="191" t="str">
        <f>IF(V114="-","-",V114*NB_LQ_SG*'Regional data'!I54)</f>
        <v>-</v>
      </c>
      <c r="Z114" s="142" t="str">
        <f>IF(W114="-","-",W114*NB_MQ_SG*'Regional data'!J54)</f>
        <v>-</v>
      </c>
      <c r="AA114" s="192" t="str">
        <f>IF(X114="-","-",X114*NB_SQ_SG*'Regional data'!K54)</f>
        <v>-</v>
      </c>
      <c r="AB114" s="141" t="str">
        <f>IF('Regional data'!R54&gt;0,'Regional data'!R54*Prod_RA*Size_dist_LQ_RA/(NB_LQ_RA*'Regional data'!O54),"-")</f>
        <v>-</v>
      </c>
      <c r="AC114" s="142" t="str">
        <f>IF('Regional data'!S54&gt;0,'Regional data'!S54*Prod_RA*Size_dist_MQ_RA/(NB_MQ_RA*'Regional data'!P54),"-")</f>
        <v>-</v>
      </c>
      <c r="AD114" s="142" t="str">
        <f>IF('Regional data'!T54&gt;0,'Regional data'!T54*Prod_RA*Size_dist_SQ_RA/(NB_SQ_RA*'Regional data'!Q54),"-")</f>
        <v>-</v>
      </c>
      <c r="AE114" s="195" t="str">
        <f t="shared" si="30"/>
        <v>-</v>
      </c>
      <c r="AF114" s="196" t="str">
        <f t="shared" si="31"/>
        <v>-</v>
      </c>
      <c r="AG114" s="198" t="str">
        <f t="shared" si="32"/>
        <v>-</v>
      </c>
      <c r="AH114" s="191" t="str">
        <f t="shared" si="33"/>
        <v>-</v>
      </c>
      <c r="AI114" s="142" t="str">
        <f t="shared" si="34"/>
        <v>-</v>
      </c>
      <c r="AJ114" s="192" t="str">
        <f t="shared" si="35"/>
        <v>-</v>
      </c>
      <c r="AK114" s="82" t="str">
        <f>IF(AH114="-","-",AH114*NB_LQ_RA*'Regional data'!O54)</f>
        <v>-</v>
      </c>
      <c r="AL114" s="142" t="str">
        <f>IF(AI114="-","-",AI114*NB_MQ_RA*'Regional data'!P54)</f>
        <v>-</v>
      </c>
      <c r="AM114" s="134" t="str">
        <f>IF(AJ114="-","-",AJ114*NB_SQ_RA*'Regional data'!Q54)</f>
        <v>-</v>
      </c>
    </row>
    <row r="115" spans="2:39" x14ac:dyDescent="0.25">
      <c r="B115" s="80">
        <f>'Regional data'!B55</f>
        <v>0</v>
      </c>
      <c r="C115" s="85">
        <f>Coeff_wind_Erosion_CR*(365*(365-'Regional data'!V55)/235)*('Regional data'!W55/365*100/15)*1000</f>
        <v>0</v>
      </c>
      <c r="D115" s="142" t="str">
        <f>IF('Regional data'!F55&gt;0,'Regional data'!F55*Prod_CR*Size_dist_LQ_CR/(NB_LQ_CR*'Regional data'!C55),"-")</f>
        <v>-</v>
      </c>
      <c r="E115" s="142" t="str">
        <f>IF('Regional data'!G55&gt;0,'Regional data'!G55*Prod_CR*Size_dist_MQ_CR/(NB_MQ_CR*'Regional data'!D55),"-")</f>
        <v>-</v>
      </c>
      <c r="F115" s="142" t="str">
        <f>IF('Regional data'!H55&gt;0,'Regional data'!H55*Prod_CR*Size_dist_SQ_CR/(NB_SQ_CR*'Regional data'!E55),"-")</f>
        <v>-</v>
      </c>
      <c r="G115" s="195" t="str">
        <f t="shared" si="18"/>
        <v>-</v>
      </c>
      <c r="H115" s="196" t="str">
        <f t="shared" si="19"/>
        <v>-</v>
      </c>
      <c r="I115" s="198" t="str">
        <f t="shared" si="20"/>
        <v>-</v>
      </c>
      <c r="J115" s="191" t="str">
        <f t="shared" si="21"/>
        <v>-</v>
      </c>
      <c r="K115" s="142" t="str">
        <f t="shared" si="22"/>
        <v>-</v>
      </c>
      <c r="L115" s="192" t="str">
        <f t="shared" si="23"/>
        <v>-</v>
      </c>
      <c r="M115" s="142" t="str">
        <f>IF(J115="-","-",J115*NB_LQ_CR*'Regional data'!C55)</f>
        <v>-</v>
      </c>
      <c r="N115" s="142" t="str">
        <f>IF(K115="-","-",K115*NB_MQ_CR*'Regional data'!D55)</f>
        <v>-</v>
      </c>
      <c r="O115" s="142" t="str">
        <f>IF(L115="-","-",L115*NB_SQ_CR*'Regional data'!E55)</f>
        <v>-</v>
      </c>
      <c r="P115" s="141" t="str">
        <f>IF('Regional data'!L55&gt;0,'Regional data'!L55*Prod_CR*Size_dist_LQ_SG/(NB_LQ_SG*'Regional data'!I55),"-")</f>
        <v>-</v>
      </c>
      <c r="Q115" s="142" t="str">
        <f>IF('Regional data'!M55&gt;0,'Regional data'!M55*Prod_SG*Size_dist_MQ_SG/(NB_MQ_SG*'Regional data'!J55),"-")</f>
        <v>-</v>
      </c>
      <c r="R115" s="142" t="str">
        <f>IF('Regional data'!N55&gt;0,'Regional data'!N55*Prod_SG*Size_dist_SQ_SG/(NB_SQ_SG*'Regional data'!K55),"-")</f>
        <v>-</v>
      </c>
      <c r="S115" s="195" t="str">
        <f t="shared" si="24"/>
        <v>-</v>
      </c>
      <c r="T115" s="196" t="str">
        <f t="shared" si="25"/>
        <v>-</v>
      </c>
      <c r="U115" s="198" t="str">
        <f t="shared" si="26"/>
        <v>-</v>
      </c>
      <c r="V115" s="191" t="str">
        <f t="shared" si="27"/>
        <v>-</v>
      </c>
      <c r="W115" s="142" t="str">
        <f t="shared" si="28"/>
        <v>-</v>
      </c>
      <c r="X115" s="192" t="str">
        <f t="shared" si="29"/>
        <v>-</v>
      </c>
      <c r="Y115" s="191" t="str">
        <f>IF(V115="-","-",V115*NB_LQ_SG*'Regional data'!I55)</f>
        <v>-</v>
      </c>
      <c r="Z115" s="142" t="str">
        <f>IF(W115="-","-",W115*NB_MQ_SG*'Regional data'!J55)</f>
        <v>-</v>
      </c>
      <c r="AA115" s="192" t="str">
        <f>IF(X115="-","-",X115*NB_SQ_SG*'Regional data'!K55)</f>
        <v>-</v>
      </c>
      <c r="AB115" s="141" t="str">
        <f>IF('Regional data'!R55&gt;0,'Regional data'!R55*Prod_RA*Size_dist_LQ_RA/(NB_LQ_RA*'Regional data'!O55),"-")</f>
        <v>-</v>
      </c>
      <c r="AC115" s="142" t="str">
        <f>IF('Regional data'!S55&gt;0,'Regional data'!S55*Prod_RA*Size_dist_MQ_RA/(NB_MQ_RA*'Regional data'!P55),"-")</f>
        <v>-</v>
      </c>
      <c r="AD115" s="142" t="str">
        <f>IF('Regional data'!T55&gt;0,'Regional data'!T55*Prod_RA*Size_dist_SQ_RA/(NB_SQ_RA*'Regional data'!Q55),"-")</f>
        <v>-</v>
      </c>
      <c r="AE115" s="195" t="str">
        <f t="shared" si="30"/>
        <v>-</v>
      </c>
      <c r="AF115" s="196" t="str">
        <f t="shared" si="31"/>
        <v>-</v>
      </c>
      <c r="AG115" s="198" t="str">
        <f t="shared" si="32"/>
        <v>-</v>
      </c>
      <c r="AH115" s="191" t="str">
        <f t="shared" si="33"/>
        <v>-</v>
      </c>
      <c r="AI115" s="142" t="str">
        <f t="shared" si="34"/>
        <v>-</v>
      </c>
      <c r="AJ115" s="192" t="str">
        <f t="shared" si="35"/>
        <v>-</v>
      </c>
      <c r="AK115" s="82" t="str">
        <f>IF(AH115="-","-",AH115*NB_LQ_RA*'Regional data'!O55)</f>
        <v>-</v>
      </c>
      <c r="AL115" s="142" t="str">
        <f>IF(AI115="-","-",AI115*NB_MQ_RA*'Regional data'!P55)</f>
        <v>-</v>
      </c>
      <c r="AM115" s="134" t="str">
        <f>IF(AJ115="-","-",AJ115*NB_SQ_RA*'Regional data'!Q55)</f>
        <v>-</v>
      </c>
    </row>
    <row r="116" spans="2:39" x14ac:dyDescent="0.25">
      <c r="B116" s="80">
        <f>'Regional data'!B56</f>
        <v>0</v>
      </c>
      <c r="C116" s="85">
        <f>Coeff_wind_Erosion_CR*(365*(365-'Regional data'!V56)/235)*('Regional data'!W56/365*100/15)*1000</f>
        <v>0</v>
      </c>
      <c r="D116" s="142" t="str">
        <f>IF('Regional data'!F56&gt;0,'Regional data'!F56*Prod_CR*Size_dist_LQ_CR/(NB_LQ_CR*'Regional data'!C56),"-")</f>
        <v>-</v>
      </c>
      <c r="E116" s="142" t="str">
        <f>IF('Regional data'!G56&gt;0,'Regional data'!G56*Prod_CR*Size_dist_MQ_CR/(NB_MQ_CR*'Regional data'!D56),"-")</f>
        <v>-</v>
      </c>
      <c r="F116" s="142" t="str">
        <f>IF('Regional data'!H56&gt;0,'Regional data'!H56*Prod_CR*Size_dist_SQ_CR/(NB_SQ_CR*'Regional data'!E56),"-")</f>
        <v>-</v>
      </c>
      <c r="G116" s="195" t="str">
        <f t="shared" si="18"/>
        <v>-</v>
      </c>
      <c r="H116" s="196" t="str">
        <f t="shared" si="19"/>
        <v>-</v>
      </c>
      <c r="I116" s="198" t="str">
        <f t="shared" si="20"/>
        <v>-</v>
      </c>
      <c r="J116" s="191" t="str">
        <f t="shared" si="21"/>
        <v>-</v>
      </c>
      <c r="K116" s="142" t="str">
        <f t="shared" si="22"/>
        <v>-</v>
      </c>
      <c r="L116" s="192" t="str">
        <f t="shared" si="23"/>
        <v>-</v>
      </c>
      <c r="M116" s="142" t="str">
        <f>IF(J116="-","-",J116*NB_LQ_CR*'Regional data'!C56)</f>
        <v>-</v>
      </c>
      <c r="N116" s="142" t="str">
        <f>IF(K116="-","-",K116*NB_MQ_CR*'Regional data'!D56)</f>
        <v>-</v>
      </c>
      <c r="O116" s="142" t="str">
        <f>IF(L116="-","-",L116*NB_SQ_CR*'Regional data'!E56)</f>
        <v>-</v>
      </c>
      <c r="P116" s="141" t="str">
        <f>IF('Regional data'!L56&gt;0,'Regional data'!L56*Prod_CR*Size_dist_LQ_SG/(NB_LQ_SG*'Regional data'!I56),"-")</f>
        <v>-</v>
      </c>
      <c r="Q116" s="142" t="str">
        <f>IF('Regional data'!M56&gt;0,'Regional data'!M56*Prod_SG*Size_dist_MQ_SG/(NB_MQ_SG*'Regional data'!J56),"-")</f>
        <v>-</v>
      </c>
      <c r="R116" s="142" t="str">
        <f>IF('Regional data'!N56&gt;0,'Regional data'!N56*Prod_SG*Size_dist_SQ_SG/(NB_SQ_SG*'Regional data'!K56),"-")</f>
        <v>-</v>
      </c>
      <c r="S116" s="195" t="str">
        <f t="shared" si="24"/>
        <v>-</v>
      </c>
      <c r="T116" s="196" t="str">
        <f t="shared" si="25"/>
        <v>-</v>
      </c>
      <c r="U116" s="198" t="str">
        <f t="shared" si="26"/>
        <v>-</v>
      </c>
      <c r="V116" s="191" t="str">
        <f t="shared" si="27"/>
        <v>-</v>
      </c>
      <c r="W116" s="142" t="str">
        <f t="shared" si="28"/>
        <v>-</v>
      </c>
      <c r="X116" s="192" t="str">
        <f t="shared" si="29"/>
        <v>-</v>
      </c>
      <c r="Y116" s="191" t="str">
        <f>IF(V116="-","-",V116*NB_LQ_SG*'Regional data'!I56)</f>
        <v>-</v>
      </c>
      <c r="Z116" s="142" t="str">
        <f>IF(W116="-","-",W116*NB_MQ_SG*'Regional data'!J56)</f>
        <v>-</v>
      </c>
      <c r="AA116" s="192" t="str">
        <f>IF(X116="-","-",X116*NB_SQ_SG*'Regional data'!K56)</f>
        <v>-</v>
      </c>
      <c r="AB116" s="141" t="str">
        <f>IF('Regional data'!R56&gt;0,'Regional data'!R56*Prod_RA*Size_dist_LQ_RA/(NB_LQ_RA*'Regional data'!O56),"-")</f>
        <v>-</v>
      </c>
      <c r="AC116" s="142" t="str">
        <f>IF('Regional data'!S56&gt;0,'Regional data'!S56*Prod_RA*Size_dist_MQ_RA/(NB_MQ_RA*'Regional data'!P56),"-")</f>
        <v>-</v>
      </c>
      <c r="AD116" s="142" t="str">
        <f>IF('Regional data'!T56&gt;0,'Regional data'!T56*Prod_RA*Size_dist_SQ_RA/(NB_SQ_RA*'Regional data'!Q56),"-")</f>
        <v>-</v>
      </c>
      <c r="AE116" s="195" t="str">
        <f t="shared" si="30"/>
        <v>-</v>
      </c>
      <c r="AF116" s="196" t="str">
        <f t="shared" si="31"/>
        <v>-</v>
      </c>
      <c r="AG116" s="198" t="str">
        <f t="shared" si="32"/>
        <v>-</v>
      </c>
      <c r="AH116" s="191" t="str">
        <f t="shared" si="33"/>
        <v>-</v>
      </c>
      <c r="AI116" s="142" t="str">
        <f t="shared" si="34"/>
        <v>-</v>
      </c>
      <c r="AJ116" s="192" t="str">
        <f t="shared" si="35"/>
        <v>-</v>
      </c>
      <c r="AK116" s="82" t="str">
        <f>IF(AH116="-","-",AH116*NB_LQ_RA*'Regional data'!O56)</f>
        <v>-</v>
      </c>
      <c r="AL116" s="142" t="str">
        <f>IF(AI116="-","-",AI116*NB_MQ_RA*'Regional data'!P56)</f>
        <v>-</v>
      </c>
      <c r="AM116" s="134" t="str">
        <f>IF(AJ116="-","-",AJ116*NB_SQ_RA*'Regional data'!Q56)</f>
        <v>-</v>
      </c>
    </row>
    <row r="117" spans="2:39" x14ac:dyDescent="0.25">
      <c r="B117" s="80">
        <f>'Regional data'!B57</f>
        <v>0</v>
      </c>
      <c r="C117" s="85">
        <f>Coeff_wind_Erosion_CR*(365*(365-'Regional data'!V57)/235)*('Regional data'!W57/365*100/15)*1000</f>
        <v>0</v>
      </c>
      <c r="D117" s="142" t="str">
        <f>IF('Regional data'!F57&gt;0,'Regional data'!F57*Prod_CR*Size_dist_LQ_CR/(NB_LQ_CR*'Regional data'!C57),"-")</f>
        <v>-</v>
      </c>
      <c r="E117" s="142" t="str">
        <f>IF('Regional data'!G57&gt;0,'Regional data'!G57*Prod_CR*Size_dist_MQ_CR/(NB_MQ_CR*'Regional data'!D57),"-")</f>
        <v>-</v>
      </c>
      <c r="F117" s="142" t="str">
        <f>IF('Regional data'!H57&gt;0,'Regional data'!H57*Prod_CR*Size_dist_SQ_CR/(NB_SQ_CR*'Regional data'!E57),"-")</f>
        <v>-</v>
      </c>
      <c r="G117" s="195" t="str">
        <f t="shared" si="18"/>
        <v>-</v>
      </c>
      <c r="H117" s="196" t="str">
        <f t="shared" si="19"/>
        <v>-</v>
      </c>
      <c r="I117" s="198" t="str">
        <f t="shared" si="20"/>
        <v>-</v>
      </c>
      <c r="J117" s="191" t="str">
        <f t="shared" si="21"/>
        <v>-</v>
      </c>
      <c r="K117" s="142" t="str">
        <f t="shared" si="22"/>
        <v>-</v>
      </c>
      <c r="L117" s="192" t="str">
        <f t="shared" si="23"/>
        <v>-</v>
      </c>
      <c r="M117" s="142" t="str">
        <f>IF(J117="-","-",J117*NB_LQ_CR*'Regional data'!C57)</f>
        <v>-</v>
      </c>
      <c r="N117" s="142" t="str">
        <f>IF(K117="-","-",K117*NB_MQ_CR*'Regional data'!D57)</f>
        <v>-</v>
      </c>
      <c r="O117" s="142" t="str">
        <f>IF(L117="-","-",L117*NB_SQ_CR*'Regional data'!E57)</f>
        <v>-</v>
      </c>
      <c r="P117" s="141" t="str">
        <f>IF('Regional data'!L57&gt;0,'Regional data'!L57*Prod_CR*Size_dist_LQ_SG/(NB_LQ_SG*'Regional data'!I57),"-")</f>
        <v>-</v>
      </c>
      <c r="Q117" s="142" t="str">
        <f>IF('Regional data'!M57&gt;0,'Regional data'!M57*Prod_SG*Size_dist_MQ_SG/(NB_MQ_SG*'Regional data'!J57),"-")</f>
        <v>-</v>
      </c>
      <c r="R117" s="142" t="str">
        <f>IF('Regional data'!N57&gt;0,'Regional data'!N57*Prod_SG*Size_dist_SQ_SG/(NB_SQ_SG*'Regional data'!K57),"-")</f>
        <v>-</v>
      </c>
      <c r="S117" s="195" t="str">
        <f t="shared" si="24"/>
        <v>-</v>
      </c>
      <c r="T117" s="196" t="str">
        <f t="shared" si="25"/>
        <v>-</v>
      </c>
      <c r="U117" s="198" t="str">
        <f t="shared" si="26"/>
        <v>-</v>
      </c>
      <c r="V117" s="191" t="str">
        <f t="shared" si="27"/>
        <v>-</v>
      </c>
      <c r="W117" s="142" t="str">
        <f t="shared" si="28"/>
        <v>-</v>
      </c>
      <c r="X117" s="192" t="str">
        <f t="shared" si="29"/>
        <v>-</v>
      </c>
      <c r="Y117" s="191" t="str">
        <f>IF(V117="-","-",V117*NB_LQ_SG*'Regional data'!I57)</f>
        <v>-</v>
      </c>
      <c r="Z117" s="142" t="str">
        <f>IF(W117="-","-",W117*NB_MQ_SG*'Regional data'!J57)</f>
        <v>-</v>
      </c>
      <c r="AA117" s="192" t="str">
        <f>IF(X117="-","-",X117*NB_SQ_SG*'Regional data'!K57)</f>
        <v>-</v>
      </c>
      <c r="AB117" s="141" t="str">
        <f>IF('Regional data'!R57&gt;0,'Regional data'!R57*Prod_RA*Size_dist_LQ_RA/(NB_LQ_RA*'Regional data'!O57),"-")</f>
        <v>-</v>
      </c>
      <c r="AC117" s="142" t="str">
        <f>IF('Regional data'!S57&gt;0,'Regional data'!S57*Prod_RA*Size_dist_MQ_RA/(NB_MQ_RA*'Regional data'!P57),"-")</f>
        <v>-</v>
      </c>
      <c r="AD117" s="142" t="str">
        <f>IF('Regional data'!T57&gt;0,'Regional data'!T57*Prod_RA*Size_dist_SQ_RA/(NB_SQ_RA*'Regional data'!Q57),"-")</f>
        <v>-</v>
      </c>
      <c r="AE117" s="195" t="str">
        <f t="shared" si="30"/>
        <v>-</v>
      </c>
      <c r="AF117" s="196" t="str">
        <f t="shared" si="31"/>
        <v>-</v>
      </c>
      <c r="AG117" s="198" t="str">
        <f t="shared" si="32"/>
        <v>-</v>
      </c>
      <c r="AH117" s="191" t="str">
        <f t="shared" si="33"/>
        <v>-</v>
      </c>
      <c r="AI117" s="142" t="str">
        <f t="shared" si="34"/>
        <v>-</v>
      </c>
      <c r="AJ117" s="192" t="str">
        <f t="shared" si="35"/>
        <v>-</v>
      </c>
      <c r="AK117" s="82" t="str">
        <f>IF(AH117="-","-",AH117*NB_LQ_RA*'Regional data'!O57)</f>
        <v>-</v>
      </c>
      <c r="AL117" s="142" t="str">
        <f>IF(AI117="-","-",AI117*NB_MQ_RA*'Regional data'!P57)</f>
        <v>-</v>
      </c>
      <c r="AM117" s="134" t="str">
        <f>IF(AJ117="-","-",AJ117*NB_SQ_RA*'Regional data'!Q57)</f>
        <v>-</v>
      </c>
    </row>
    <row r="118" spans="2:39" x14ac:dyDescent="0.25">
      <c r="B118" s="80">
        <f>'Regional data'!B58</f>
        <v>0</v>
      </c>
      <c r="C118" s="85">
        <f>Coeff_wind_Erosion_CR*(365*(365-'Regional data'!V58)/235)*('Regional data'!W58/365*100/15)*1000</f>
        <v>0</v>
      </c>
      <c r="D118" s="142" t="str">
        <f>IF('Regional data'!F58&gt;0,'Regional data'!F58*Prod_CR*Size_dist_LQ_CR/(NB_LQ_CR*'Regional data'!C58),"-")</f>
        <v>-</v>
      </c>
      <c r="E118" s="142" t="str">
        <f>IF('Regional data'!G58&gt;0,'Regional data'!G58*Prod_CR*Size_dist_MQ_CR/(NB_MQ_CR*'Regional data'!D58),"-")</f>
        <v>-</v>
      </c>
      <c r="F118" s="142" t="str">
        <f>IF('Regional data'!H58&gt;0,'Regional data'!H58*Prod_CR*Size_dist_SQ_CR/(NB_SQ_CR*'Regional data'!E58),"-")</f>
        <v>-</v>
      </c>
      <c r="G118" s="195" t="str">
        <f t="shared" si="18"/>
        <v>-</v>
      </c>
      <c r="H118" s="196" t="str">
        <f t="shared" si="19"/>
        <v>-</v>
      </c>
      <c r="I118" s="198" t="str">
        <f t="shared" si="20"/>
        <v>-</v>
      </c>
      <c r="J118" s="191" t="str">
        <f t="shared" si="21"/>
        <v>-</v>
      </c>
      <c r="K118" s="142" t="str">
        <f t="shared" si="22"/>
        <v>-</v>
      </c>
      <c r="L118" s="192" t="str">
        <f t="shared" si="23"/>
        <v>-</v>
      </c>
      <c r="M118" s="142" t="str">
        <f>IF(J118="-","-",J118*NB_LQ_CR*'Regional data'!C58)</f>
        <v>-</v>
      </c>
      <c r="N118" s="142" t="str">
        <f>IF(K118="-","-",K118*NB_MQ_CR*'Regional data'!D58)</f>
        <v>-</v>
      </c>
      <c r="O118" s="142" t="str">
        <f>IF(L118="-","-",L118*NB_SQ_CR*'Regional data'!E58)</f>
        <v>-</v>
      </c>
      <c r="P118" s="141" t="str">
        <f>IF('Regional data'!L58&gt;0,'Regional data'!L58*Prod_CR*Size_dist_LQ_SG/(NB_LQ_SG*'Regional data'!I58),"-")</f>
        <v>-</v>
      </c>
      <c r="Q118" s="142" t="str">
        <f>IF('Regional data'!M58&gt;0,'Regional data'!M58*Prod_SG*Size_dist_MQ_SG/(NB_MQ_SG*'Regional data'!J58),"-")</f>
        <v>-</v>
      </c>
      <c r="R118" s="142" t="str">
        <f>IF('Regional data'!N58&gt;0,'Regional data'!N58*Prod_SG*Size_dist_SQ_SG/(NB_SQ_SG*'Regional data'!K58),"-")</f>
        <v>-</v>
      </c>
      <c r="S118" s="195" t="str">
        <f t="shared" si="24"/>
        <v>-</v>
      </c>
      <c r="T118" s="196" t="str">
        <f t="shared" si="25"/>
        <v>-</v>
      </c>
      <c r="U118" s="198" t="str">
        <f t="shared" si="26"/>
        <v>-</v>
      </c>
      <c r="V118" s="191" t="str">
        <f t="shared" si="27"/>
        <v>-</v>
      </c>
      <c r="W118" s="142" t="str">
        <f t="shared" si="28"/>
        <v>-</v>
      </c>
      <c r="X118" s="192" t="str">
        <f t="shared" si="29"/>
        <v>-</v>
      </c>
      <c r="Y118" s="191" t="str">
        <f>IF(V118="-","-",V118*NB_LQ_SG*'Regional data'!I58)</f>
        <v>-</v>
      </c>
      <c r="Z118" s="142" t="str">
        <f>IF(W118="-","-",W118*NB_MQ_SG*'Regional data'!J58)</f>
        <v>-</v>
      </c>
      <c r="AA118" s="192" t="str">
        <f>IF(X118="-","-",X118*NB_SQ_SG*'Regional data'!K58)</f>
        <v>-</v>
      </c>
      <c r="AB118" s="141" t="str">
        <f>IF('Regional data'!R58&gt;0,'Regional data'!R58*Prod_RA*Size_dist_LQ_RA/(NB_LQ_RA*'Regional data'!O58),"-")</f>
        <v>-</v>
      </c>
      <c r="AC118" s="142" t="str">
        <f>IF('Regional data'!S58&gt;0,'Regional data'!S58*Prod_RA*Size_dist_MQ_RA/(NB_MQ_RA*'Regional data'!P58),"-")</f>
        <v>-</v>
      </c>
      <c r="AD118" s="142" t="str">
        <f>IF('Regional data'!T58&gt;0,'Regional data'!T58*Prod_RA*Size_dist_SQ_RA/(NB_SQ_RA*'Regional data'!Q58),"-")</f>
        <v>-</v>
      </c>
      <c r="AE118" s="195" t="str">
        <f t="shared" si="30"/>
        <v>-</v>
      </c>
      <c r="AF118" s="196" t="str">
        <f t="shared" si="31"/>
        <v>-</v>
      </c>
      <c r="AG118" s="198" t="str">
        <f t="shared" si="32"/>
        <v>-</v>
      </c>
      <c r="AH118" s="191" t="str">
        <f t="shared" si="33"/>
        <v>-</v>
      </c>
      <c r="AI118" s="142" t="str">
        <f t="shared" si="34"/>
        <v>-</v>
      </c>
      <c r="AJ118" s="192" t="str">
        <f t="shared" si="35"/>
        <v>-</v>
      </c>
      <c r="AK118" s="82" t="str">
        <f>IF(AH118="-","-",AH118*NB_LQ_RA*'Regional data'!O58)</f>
        <v>-</v>
      </c>
      <c r="AL118" s="142" t="str">
        <f>IF(AI118="-","-",AI118*NB_MQ_RA*'Regional data'!P58)</f>
        <v>-</v>
      </c>
      <c r="AM118" s="134" t="str">
        <f>IF(AJ118="-","-",AJ118*NB_SQ_RA*'Regional data'!Q58)</f>
        <v>-</v>
      </c>
    </row>
    <row r="119" spans="2:39" x14ac:dyDescent="0.25">
      <c r="B119" s="80">
        <f>'Regional data'!B59</f>
        <v>0</v>
      </c>
      <c r="C119" s="85">
        <f>Coeff_wind_Erosion_CR*(365*(365-'Regional data'!V59)/235)*('Regional data'!W59/365*100/15)*1000</f>
        <v>0</v>
      </c>
      <c r="D119" s="142" t="str">
        <f>IF('Regional data'!F59&gt;0,'Regional data'!F59*Prod_CR*Size_dist_LQ_CR/(NB_LQ_CR*'Regional data'!C59),"-")</f>
        <v>-</v>
      </c>
      <c r="E119" s="142" t="str">
        <f>IF('Regional data'!G59&gt;0,'Regional data'!G59*Prod_CR*Size_dist_MQ_CR/(NB_MQ_CR*'Regional data'!D59),"-")</f>
        <v>-</v>
      </c>
      <c r="F119" s="142" t="str">
        <f>IF('Regional data'!H59&gt;0,'Regional data'!H59*Prod_CR*Size_dist_SQ_CR/(NB_SQ_CR*'Regional data'!E59),"-")</f>
        <v>-</v>
      </c>
      <c r="G119" s="195" t="str">
        <f t="shared" si="18"/>
        <v>-</v>
      </c>
      <c r="H119" s="196" t="str">
        <f t="shared" si="19"/>
        <v>-</v>
      </c>
      <c r="I119" s="198" t="str">
        <f t="shared" si="20"/>
        <v>-</v>
      </c>
      <c r="J119" s="191" t="str">
        <f t="shared" si="21"/>
        <v>-</v>
      </c>
      <c r="K119" s="142" t="str">
        <f t="shared" si="22"/>
        <v>-</v>
      </c>
      <c r="L119" s="192" t="str">
        <f t="shared" si="23"/>
        <v>-</v>
      </c>
      <c r="M119" s="142" t="str">
        <f>IF(J119="-","-",J119*NB_LQ_CR*'Regional data'!C59)</f>
        <v>-</v>
      </c>
      <c r="N119" s="142" t="str">
        <f>IF(K119="-","-",K119*NB_MQ_CR*'Regional data'!D59)</f>
        <v>-</v>
      </c>
      <c r="O119" s="142" t="str">
        <f>IF(L119="-","-",L119*NB_SQ_CR*'Regional data'!E59)</f>
        <v>-</v>
      </c>
      <c r="P119" s="141" t="str">
        <f>IF('Regional data'!L59&gt;0,'Regional data'!L59*Prod_CR*Size_dist_LQ_SG/(NB_LQ_SG*'Regional data'!I59),"-")</f>
        <v>-</v>
      </c>
      <c r="Q119" s="142" t="str">
        <f>IF('Regional data'!M59&gt;0,'Regional data'!M59*Prod_SG*Size_dist_MQ_SG/(NB_MQ_SG*'Regional data'!J59),"-")</f>
        <v>-</v>
      </c>
      <c r="R119" s="142" t="str">
        <f>IF('Regional data'!N59&gt;0,'Regional data'!N59*Prod_SG*Size_dist_SQ_SG/(NB_SQ_SG*'Regional data'!K59),"-")</f>
        <v>-</v>
      </c>
      <c r="S119" s="195" t="str">
        <f t="shared" si="24"/>
        <v>-</v>
      </c>
      <c r="T119" s="196" t="str">
        <f t="shared" si="25"/>
        <v>-</v>
      </c>
      <c r="U119" s="198" t="str">
        <f t="shared" si="26"/>
        <v>-</v>
      </c>
      <c r="V119" s="191" t="str">
        <f t="shared" si="27"/>
        <v>-</v>
      </c>
      <c r="W119" s="142" t="str">
        <f t="shared" si="28"/>
        <v>-</v>
      </c>
      <c r="X119" s="192" t="str">
        <f t="shared" si="29"/>
        <v>-</v>
      </c>
      <c r="Y119" s="191" t="str">
        <f>IF(V119="-","-",V119*NB_LQ_SG*'Regional data'!I59)</f>
        <v>-</v>
      </c>
      <c r="Z119" s="142" t="str">
        <f>IF(W119="-","-",W119*NB_MQ_SG*'Regional data'!J59)</f>
        <v>-</v>
      </c>
      <c r="AA119" s="192" t="str">
        <f>IF(X119="-","-",X119*NB_SQ_SG*'Regional data'!K59)</f>
        <v>-</v>
      </c>
      <c r="AB119" s="141" t="str">
        <f>IF('Regional data'!R59&gt;0,'Regional data'!R59*Prod_RA*Size_dist_LQ_RA/(NB_LQ_RA*'Regional data'!O59),"-")</f>
        <v>-</v>
      </c>
      <c r="AC119" s="142" t="str">
        <f>IF('Regional data'!S59&gt;0,'Regional data'!S59*Prod_RA*Size_dist_MQ_RA/(NB_MQ_RA*'Regional data'!P59),"-")</f>
        <v>-</v>
      </c>
      <c r="AD119" s="142" t="str">
        <f>IF('Regional data'!T59&gt;0,'Regional data'!T59*Prod_RA*Size_dist_SQ_RA/(NB_SQ_RA*'Regional data'!Q59),"-")</f>
        <v>-</v>
      </c>
      <c r="AE119" s="195" t="str">
        <f t="shared" si="30"/>
        <v>-</v>
      </c>
      <c r="AF119" s="196" t="str">
        <f t="shared" si="31"/>
        <v>-</v>
      </c>
      <c r="AG119" s="198" t="str">
        <f t="shared" si="32"/>
        <v>-</v>
      </c>
      <c r="AH119" s="191" t="str">
        <f t="shared" si="33"/>
        <v>-</v>
      </c>
      <c r="AI119" s="142" t="str">
        <f t="shared" si="34"/>
        <v>-</v>
      </c>
      <c r="AJ119" s="192" t="str">
        <f t="shared" si="35"/>
        <v>-</v>
      </c>
      <c r="AK119" s="82" t="str">
        <f>IF(AH119="-","-",AH119*NB_LQ_RA*'Regional data'!O59)</f>
        <v>-</v>
      </c>
      <c r="AL119" s="142" t="str">
        <f>IF(AI119="-","-",AI119*NB_MQ_RA*'Regional data'!P59)</f>
        <v>-</v>
      </c>
      <c r="AM119" s="134" t="str">
        <f>IF(AJ119="-","-",AJ119*NB_SQ_RA*'Regional data'!Q59)</f>
        <v>-</v>
      </c>
    </row>
    <row r="120" spans="2:39" x14ac:dyDescent="0.25">
      <c r="B120" s="80">
        <f>'Regional data'!B60</f>
        <v>0</v>
      </c>
      <c r="C120" s="85">
        <f>Coeff_wind_Erosion_CR*(365*(365-'Regional data'!V60)/235)*('Regional data'!W60/365*100/15)*1000</f>
        <v>0</v>
      </c>
      <c r="D120" s="142" t="str">
        <f>IF('Regional data'!F60&gt;0,'Regional data'!F60*Prod_CR*Size_dist_LQ_CR/(NB_LQ_CR*'Regional data'!C60),"-")</f>
        <v>-</v>
      </c>
      <c r="E120" s="142" t="str">
        <f>IF('Regional data'!G60&gt;0,'Regional data'!G60*Prod_CR*Size_dist_MQ_CR/(NB_MQ_CR*'Regional data'!D60),"-")</f>
        <v>-</v>
      </c>
      <c r="F120" s="142" t="str">
        <f>IF('Regional data'!H60&gt;0,'Regional data'!H60*Prod_CR*Size_dist_SQ_CR/(NB_SQ_CR*'Regional data'!E60),"-")</f>
        <v>-</v>
      </c>
      <c r="G120" s="195" t="str">
        <f t="shared" si="18"/>
        <v>-</v>
      </c>
      <c r="H120" s="196" t="str">
        <f t="shared" si="19"/>
        <v>-</v>
      </c>
      <c r="I120" s="198" t="str">
        <f t="shared" si="20"/>
        <v>-</v>
      </c>
      <c r="J120" s="191" t="str">
        <f t="shared" si="21"/>
        <v>-</v>
      </c>
      <c r="K120" s="142" t="str">
        <f t="shared" si="22"/>
        <v>-</v>
      </c>
      <c r="L120" s="192" t="str">
        <f t="shared" si="23"/>
        <v>-</v>
      </c>
      <c r="M120" s="142" t="str">
        <f>IF(J120="-","-",J120*NB_LQ_CR*'Regional data'!C60)</f>
        <v>-</v>
      </c>
      <c r="N120" s="142" t="str">
        <f>IF(K120="-","-",K120*NB_MQ_CR*'Regional data'!D60)</f>
        <v>-</v>
      </c>
      <c r="O120" s="142" t="str">
        <f>IF(L120="-","-",L120*NB_SQ_CR*'Regional data'!E60)</f>
        <v>-</v>
      </c>
      <c r="P120" s="141" t="str">
        <f>IF('Regional data'!L60&gt;0,'Regional data'!L60*Prod_CR*Size_dist_LQ_SG/(NB_LQ_SG*'Regional data'!I60),"-")</f>
        <v>-</v>
      </c>
      <c r="Q120" s="142" t="str">
        <f>IF('Regional data'!M60&gt;0,'Regional data'!M60*Prod_SG*Size_dist_MQ_SG/(NB_MQ_SG*'Regional data'!J60),"-")</f>
        <v>-</v>
      </c>
      <c r="R120" s="142" t="str">
        <f>IF('Regional data'!N60&gt;0,'Regional data'!N60*Prod_SG*Size_dist_SQ_SG/(NB_SQ_SG*'Regional data'!K60),"-")</f>
        <v>-</v>
      </c>
      <c r="S120" s="195" t="str">
        <f t="shared" si="24"/>
        <v>-</v>
      </c>
      <c r="T120" s="196" t="str">
        <f t="shared" si="25"/>
        <v>-</v>
      </c>
      <c r="U120" s="198" t="str">
        <f t="shared" si="26"/>
        <v>-</v>
      </c>
      <c r="V120" s="191" t="str">
        <f t="shared" si="27"/>
        <v>-</v>
      </c>
      <c r="W120" s="142" t="str">
        <f t="shared" si="28"/>
        <v>-</v>
      </c>
      <c r="X120" s="192" t="str">
        <f t="shared" si="29"/>
        <v>-</v>
      </c>
      <c r="Y120" s="191" t="str">
        <f>IF(V120="-","-",V120*NB_LQ_SG*'Regional data'!I60)</f>
        <v>-</v>
      </c>
      <c r="Z120" s="142" t="str">
        <f>IF(W120="-","-",W120*NB_MQ_SG*'Regional data'!J60)</f>
        <v>-</v>
      </c>
      <c r="AA120" s="192" t="str">
        <f>IF(X120="-","-",X120*NB_SQ_SG*'Regional data'!K60)</f>
        <v>-</v>
      </c>
      <c r="AB120" s="141" t="str">
        <f>IF('Regional data'!R60&gt;0,'Regional data'!R60*Prod_RA*Size_dist_LQ_RA/(NB_LQ_RA*'Regional data'!O60),"-")</f>
        <v>-</v>
      </c>
      <c r="AC120" s="142" t="str">
        <f>IF('Regional data'!S60&gt;0,'Regional data'!S60*Prod_RA*Size_dist_MQ_RA/(NB_MQ_RA*'Regional data'!P60),"-")</f>
        <v>-</v>
      </c>
      <c r="AD120" s="142" t="str">
        <f>IF('Regional data'!T60&gt;0,'Regional data'!T60*Prod_RA*Size_dist_SQ_RA/(NB_SQ_RA*'Regional data'!Q60),"-")</f>
        <v>-</v>
      </c>
      <c r="AE120" s="195" t="str">
        <f t="shared" si="30"/>
        <v>-</v>
      </c>
      <c r="AF120" s="196" t="str">
        <f t="shared" si="31"/>
        <v>-</v>
      </c>
      <c r="AG120" s="198" t="str">
        <f t="shared" si="32"/>
        <v>-</v>
      </c>
      <c r="AH120" s="191" t="str">
        <f t="shared" si="33"/>
        <v>-</v>
      </c>
      <c r="AI120" s="142" t="str">
        <f t="shared" si="34"/>
        <v>-</v>
      </c>
      <c r="AJ120" s="192" t="str">
        <f t="shared" si="35"/>
        <v>-</v>
      </c>
      <c r="AK120" s="82" t="str">
        <f>IF(AH120="-","-",AH120*NB_LQ_RA*'Regional data'!O60)</f>
        <v>-</v>
      </c>
      <c r="AL120" s="142" t="str">
        <f>IF(AI120="-","-",AI120*NB_MQ_RA*'Regional data'!P60)</f>
        <v>-</v>
      </c>
      <c r="AM120" s="134" t="str">
        <f>IF(AJ120="-","-",AJ120*NB_SQ_RA*'Regional data'!Q60)</f>
        <v>-</v>
      </c>
    </row>
    <row r="121" spans="2:39" x14ac:dyDescent="0.25">
      <c r="B121" s="80">
        <f>'Regional data'!B61</f>
        <v>0</v>
      </c>
      <c r="C121" s="85">
        <f>Coeff_wind_Erosion_CR*(365*(365-'Regional data'!V61)/235)*('Regional data'!W61/365*100/15)*1000</f>
        <v>0</v>
      </c>
      <c r="D121" s="142" t="str">
        <f>IF('Regional data'!F61&gt;0,'Regional data'!F61*Prod_CR*Size_dist_LQ_CR/(NB_LQ_CR*'Regional data'!C61),"-")</f>
        <v>-</v>
      </c>
      <c r="E121" s="142" t="str">
        <f>IF('Regional data'!G61&gt;0,'Regional data'!G61*Prod_CR*Size_dist_MQ_CR/(NB_MQ_CR*'Regional data'!D61),"-")</f>
        <v>-</v>
      </c>
      <c r="F121" s="142" t="str">
        <f>IF('Regional data'!H61&gt;0,'Regional data'!H61*Prod_CR*Size_dist_SQ_CR/(NB_SQ_CR*'Regional data'!E61),"-")</f>
        <v>-</v>
      </c>
      <c r="G121" s="195" t="str">
        <f t="shared" si="18"/>
        <v>-</v>
      </c>
      <c r="H121" s="196" t="str">
        <f t="shared" si="19"/>
        <v>-</v>
      </c>
      <c r="I121" s="198" t="str">
        <f t="shared" si="20"/>
        <v>-</v>
      </c>
      <c r="J121" s="191" t="str">
        <f t="shared" si="21"/>
        <v>-</v>
      </c>
      <c r="K121" s="142" t="str">
        <f t="shared" si="22"/>
        <v>-</v>
      </c>
      <c r="L121" s="192" t="str">
        <f t="shared" si="23"/>
        <v>-</v>
      </c>
      <c r="M121" s="142" t="str">
        <f>IF(J121="-","-",J121*NB_LQ_CR*'Regional data'!C61)</f>
        <v>-</v>
      </c>
      <c r="N121" s="142" t="str">
        <f>IF(K121="-","-",K121*NB_MQ_CR*'Regional data'!D61)</f>
        <v>-</v>
      </c>
      <c r="O121" s="142" t="str">
        <f>IF(L121="-","-",L121*NB_SQ_CR*'Regional data'!E61)</f>
        <v>-</v>
      </c>
      <c r="P121" s="141" t="str">
        <f>IF('Regional data'!L61&gt;0,'Regional data'!L61*Prod_CR*Size_dist_LQ_SG/(NB_LQ_SG*'Regional data'!I61),"-")</f>
        <v>-</v>
      </c>
      <c r="Q121" s="142" t="str">
        <f>IF('Regional data'!M61&gt;0,'Regional data'!M61*Prod_SG*Size_dist_MQ_SG/(NB_MQ_SG*'Regional data'!J61),"-")</f>
        <v>-</v>
      </c>
      <c r="R121" s="142" t="str">
        <f>IF('Regional data'!N61&gt;0,'Regional data'!N61*Prod_SG*Size_dist_SQ_SG/(NB_SQ_SG*'Regional data'!K61),"-")</f>
        <v>-</v>
      </c>
      <c r="S121" s="195" t="str">
        <f t="shared" si="24"/>
        <v>-</v>
      </c>
      <c r="T121" s="196" t="str">
        <f t="shared" si="25"/>
        <v>-</v>
      </c>
      <c r="U121" s="198" t="str">
        <f t="shared" si="26"/>
        <v>-</v>
      </c>
      <c r="V121" s="191" t="str">
        <f t="shared" si="27"/>
        <v>-</v>
      </c>
      <c r="W121" s="142" t="str">
        <f t="shared" si="28"/>
        <v>-</v>
      </c>
      <c r="X121" s="192" t="str">
        <f t="shared" si="29"/>
        <v>-</v>
      </c>
      <c r="Y121" s="191" t="str">
        <f>IF(V121="-","-",V121*NB_LQ_SG*'Regional data'!I61)</f>
        <v>-</v>
      </c>
      <c r="Z121" s="142" t="str">
        <f>IF(W121="-","-",W121*NB_MQ_SG*'Regional data'!J61)</f>
        <v>-</v>
      </c>
      <c r="AA121" s="192" t="str">
        <f>IF(X121="-","-",X121*NB_SQ_SG*'Regional data'!K61)</f>
        <v>-</v>
      </c>
      <c r="AB121" s="141" t="str">
        <f>IF('Regional data'!R61&gt;0,'Regional data'!R61*Prod_RA*Size_dist_LQ_RA/(NB_LQ_RA*'Regional data'!O61),"-")</f>
        <v>-</v>
      </c>
      <c r="AC121" s="142" t="str">
        <f>IF('Regional data'!S61&gt;0,'Regional data'!S61*Prod_RA*Size_dist_MQ_RA/(NB_MQ_RA*'Regional data'!P61),"-")</f>
        <v>-</v>
      </c>
      <c r="AD121" s="142" t="str">
        <f>IF('Regional data'!T61&gt;0,'Regional data'!T61*Prod_RA*Size_dist_SQ_RA/(NB_SQ_RA*'Regional data'!Q61),"-")</f>
        <v>-</v>
      </c>
      <c r="AE121" s="195" t="str">
        <f t="shared" si="30"/>
        <v>-</v>
      </c>
      <c r="AF121" s="196" t="str">
        <f t="shared" si="31"/>
        <v>-</v>
      </c>
      <c r="AG121" s="198" t="str">
        <f t="shared" si="32"/>
        <v>-</v>
      </c>
      <c r="AH121" s="191" t="str">
        <f t="shared" si="33"/>
        <v>-</v>
      </c>
      <c r="AI121" s="142" t="str">
        <f t="shared" si="34"/>
        <v>-</v>
      </c>
      <c r="AJ121" s="192" t="str">
        <f t="shared" si="35"/>
        <v>-</v>
      </c>
      <c r="AK121" s="82" t="str">
        <f>IF(AH121="-","-",AH121*NB_LQ_RA*'Regional data'!O61)</f>
        <v>-</v>
      </c>
      <c r="AL121" s="142" t="str">
        <f>IF(AI121="-","-",AI121*NB_MQ_RA*'Regional data'!P61)</f>
        <v>-</v>
      </c>
      <c r="AM121" s="134" t="str">
        <f>IF(AJ121="-","-",AJ121*NB_SQ_RA*'Regional data'!Q61)</f>
        <v>-</v>
      </c>
    </row>
    <row r="122" spans="2:39" x14ac:dyDescent="0.25">
      <c r="B122" s="80">
        <f>'Regional data'!B62</f>
        <v>0</v>
      </c>
      <c r="C122" s="85">
        <f>Coeff_wind_Erosion_CR*(365*(365-'Regional data'!V62)/235)*('Regional data'!W62/365*100/15)*1000</f>
        <v>0</v>
      </c>
      <c r="D122" s="142" t="str">
        <f>IF('Regional data'!F62&gt;0,'Regional data'!F62*Prod_CR*Size_dist_LQ_CR/(NB_LQ_CR*'Regional data'!C62),"-")</f>
        <v>-</v>
      </c>
      <c r="E122" s="142" t="str">
        <f>IF('Regional data'!G62&gt;0,'Regional data'!G62*Prod_CR*Size_dist_MQ_CR/(NB_MQ_CR*'Regional data'!D62),"-")</f>
        <v>-</v>
      </c>
      <c r="F122" s="142" t="str">
        <f>IF('Regional data'!H62&gt;0,'Regional data'!H62*Prod_CR*Size_dist_SQ_CR/(NB_SQ_CR*'Regional data'!E62),"-")</f>
        <v>-</v>
      </c>
      <c r="G122" s="195" t="str">
        <f t="shared" si="18"/>
        <v>-</v>
      </c>
      <c r="H122" s="196" t="str">
        <f t="shared" si="19"/>
        <v>-</v>
      </c>
      <c r="I122" s="198" t="str">
        <f t="shared" si="20"/>
        <v>-</v>
      </c>
      <c r="J122" s="191" t="str">
        <f t="shared" si="21"/>
        <v>-</v>
      </c>
      <c r="K122" s="142" t="str">
        <f t="shared" si="22"/>
        <v>-</v>
      </c>
      <c r="L122" s="192" t="str">
        <f t="shared" si="23"/>
        <v>-</v>
      </c>
      <c r="M122" s="142" t="str">
        <f>IF(J122="-","-",J122*NB_LQ_CR*'Regional data'!C62)</f>
        <v>-</v>
      </c>
      <c r="N122" s="142" t="str">
        <f>IF(K122="-","-",K122*NB_MQ_CR*'Regional data'!D62)</f>
        <v>-</v>
      </c>
      <c r="O122" s="142" t="str">
        <f>IF(L122="-","-",L122*NB_SQ_CR*'Regional data'!E62)</f>
        <v>-</v>
      </c>
      <c r="P122" s="141" t="str">
        <f>IF('Regional data'!L62&gt;0,'Regional data'!L62*Prod_CR*Size_dist_LQ_SG/(NB_LQ_SG*'Regional data'!I62),"-")</f>
        <v>-</v>
      </c>
      <c r="Q122" s="142" t="str">
        <f>IF('Regional data'!M62&gt;0,'Regional data'!M62*Prod_SG*Size_dist_MQ_SG/(NB_MQ_SG*'Regional data'!J62),"-")</f>
        <v>-</v>
      </c>
      <c r="R122" s="142" t="str">
        <f>IF('Regional data'!N62&gt;0,'Regional data'!N62*Prod_SG*Size_dist_SQ_SG/(NB_SQ_SG*'Regional data'!K62),"-")</f>
        <v>-</v>
      </c>
      <c r="S122" s="195" t="str">
        <f t="shared" si="24"/>
        <v>-</v>
      </c>
      <c r="T122" s="196" t="str">
        <f t="shared" si="25"/>
        <v>-</v>
      </c>
      <c r="U122" s="198" t="str">
        <f t="shared" si="26"/>
        <v>-</v>
      </c>
      <c r="V122" s="191" t="str">
        <f t="shared" si="27"/>
        <v>-</v>
      </c>
      <c r="W122" s="142" t="str">
        <f t="shared" si="28"/>
        <v>-</v>
      </c>
      <c r="X122" s="192" t="str">
        <f t="shared" si="29"/>
        <v>-</v>
      </c>
      <c r="Y122" s="191" t="str">
        <f>IF(V122="-","-",V122*NB_LQ_SG*'Regional data'!I62)</f>
        <v>-</v>
      </c>
      <c r="Z122" s="142" t="str">
        <f>IF(W122="-","-",W122*NB_MQ_SG*'Regional data'!J62)</f>
        <v>-</v>
      </c>
      <c r="AA122" s="192" t="str">
        <f>IF(X122="-","-",X122*NB_SQ_SG*'Regional data'!K62)</f>
        <v>-</v>
      </c>
      <c r="AB122" s="141" t="str">
        <f>IF('Regional data'!R62&gt;0,'Regional data'!R62*Prod_RA*Size_dist_LQ_RA/(NB_LQ_RA*'Regional data'!O62),"-")</f>
        <v>-</v>
      </c>
      <c r="AC122" s="142" t="str">
        <f>IF('Regional data'!S62&gt;0,'Regional data'!S62*Prod_RA*Size_dist_MQ_RA/(NB_MQ_RA*'Regional data'!P62),"-")</f>
        <v>-</v>
      </c>
      <c r="AD122" s="142" t="str">
        <f>IF('Regional data'!T62&gt;0,'Regional data'!T62*Prod_RA*Size_dist_SQ_RA/(NB_SQ_RA*'Regional data'!Q62),"-")</f>
        <v>-</v>
      </c>
      <c r="AE122" s="195" t="str">
        <f t="shared" si="30"/>
        <v>-</v>
      </c>
      <c r="AF122" s="196" t="str">
        <f t="shared" si="31"/>
        <v>-</v>
      </c>
      <c r="AG122" s="198" t="str">
        <f t="shared" si="32"/>
        <v>-</v>
      </c>
      <c r="AH122" s="191" t="str">
        <f t="shared" si="33"/>
        <v>-</v>
      </c>
      <c r="AI122" s="142" t="str">
        <f t="shared" si="34"/>
        <v>-</v>
      </c>
      <c r="AJ122" s="192" t="str">
        <f t="shared" si="35"/>
        <v>-</v>
      </c>
      <c r="AK122" s="82" t="str">
        <f>IF(AH122="-","-",AH122*NB_LQ_RA*'Regional data'!O62)</f>
        <v>-</v>
      </c>
      <c r="AL122" s="142" t="str">
        <f>IF(AI122="-","-",AI122*NB_MQ_RA*'Regional data'!P62)</f>
        <v>-</v>
      </c>
      <c r="AM122" s="134" t="str">
        <f>IF(AJ122="-","-",AJ122*NB_SQ_RA*'Regional data'!Q62)</f>
        <v>-</v>
      </c>
    </row>
    <row r="123" spans="2:39" x14ac:dyDescent="0.25">
      <c r="B123" s="80">
        <f>'Regional data'!B63</f>
        <v>0</v>
      </c>
      <c r="C123" s="85">
        <f>Coeff_wind_Erosion_CR*(365*(365-'Regional data'!V63)/235)*('Regional data'!W63/365*100/15)*1000</f>
        <v>0</v>
      </c>
      <c r="D123" s="142" t="str">
        <f>IF('Regional data'!F63&gt;0,'Regional data'!F63*Prod_CR*Size_dist_LQ_CR/(NB_LQ_CR*'Regional data'!C63),"-")</f>
        <v>-</v>
      </c>
      <c r="E123" s="142" t="str">
        <f>IF('Regional data'!G63&gt;0,'Regional data'!G63*Prod_CR*Size_dist_MQ_CR/(NB_MQ_CR*'Regional data'!D63),"-")</f>
        <v>-</v>
      </c>
      <c r="F123" s="142" t="str">
        <f>IF('Regional data'!H63&gt;0,'Regional data'!H63*Prod_CR*Size_dist_SQ_CR/(NB_SQ_CR*'Regional data'!E63),"-")</f>
        <v>-</v>
      </c>
      <c r="G123" s="195" t="str">
        <f t="shared" si="18"/>
        <v>-</v>
      </c>
      <c r="H123" s="196" t="str">
        <f t="shared" si="19"/>
        <v>-</v>
      </c>
      <c r="I123" s="198" t="str">
        <f t="shared" si="20"/>
        <v>-</v>
      </c>
      <c r="J123" s="191" t="str">
        <f t="shared" si="21"/>
        <v>-</v>
      </c>
      <c r="K123" s="142" t="str">
        <f t="shared" si="22"/>
        <v>-</v>
      </c>
      <c r="L123" s="192" t="str">
        <f t="shared" si="23"/>
        <v>-</v>
      </c>
      <c r="M123" s="142" t="str">
        <f>IF(J123="-","-",J123*NB_LQ_CR*'Regional data'!C63)</f>
        <v>-</v>
      </c>
      <c r="N123" s="142" t="str">
        <f>IF(K123="-","-",K123*NB_MQ_CR*'Regional data'!D63)</f>
        <v>-</v>
      </c>
      <c r="O123" s="142" t="str">
        <f>IF(L123="-","-",L123*NB_SQ_CR*'Regional data'!E63)</f>
        <v>-</v>
      </c>
      <c r="P123" s="141" t="str">
        <f>IF('Regional data'!L63&gt;0,'Regional data'!L63*Prod_CR*Size_dist_LQ_SG/(NB_LQ_SG*'Regional data'!I63),"-")</f>
        <v>-</v>
      </c>
      <c r="Q123" s="142" t="str">
        <f>IF('Regional data'!M63&gt;0,'Regional data'!M63*Prod_SG*Size_dist_MQ_SG/(NB_MQ_SG*'Regional data'!J63),"-")</f>
        <v>-</v>
      </c>
      <c r="R123" s="142" t="str">
        <f>IF('Regional data'!N63&gt;0,'Regional data'!N63*Prod_SG*Size_dist_SQ_SG/(NB_SQ_SG*'Regional data'!K63),"-")</f>
        <v>-</v>
      </c>
      <c r="S123" s="195" t="str">
        <f t="shared" si="24"/>
        <v>-</v>
      </c>
      <c r="T123" s="196" t="str">
        <f t="shared" si="25"/>
        <v>-</v>
      </c>
      <c r="U123" s="198" t="str">
        <f t="shared" si="26"/>
        <v>-</v>
      </c>
      <c r="V123" s="191" t="str">
        <f t="shared" si="27"/>
        <v>-</v>
      </c>
      <c r="W123" s="142" t="str">
        <f t="shared" si="28"/>
        <v>-</v>
      </c>
      <c r="X123" s="192" t="str">
        <f t="shared" si="29"/>
        <v>-</v>
      </c>
      <c r="Y123" s="191" t="str">
        <f>IF(V123="-","-",V123*NB_LQ_SG*'Regional data'!I63)</f>
        <v>-</v>
      </c>
      <c r="Z123" s="142" t="str">
        <f>IF(W123="-","-",W123*NB_MQ_SG*'Regional data'!J63)</f>
        <v>-</v>
      </c>
      <c r="AA123" s="192" t="str">
        <f>IF(X123="-","-",X123*NB_SQ_SG*'Regional data'!K63)</f>
        <v>-</v>
      </c>
      <c r="AB123" s="141" t="str">
        <f>IF('Regional data'!R63&gt;0,'Regional data'!R63*Prod_RA*Size_dist_LQ_RA/(NB_LQ_RA*'Regional data'!O63),"-")</f>
        <v>-</v>
      </c>
      <c r="AC123" s="142" t="str">
        <f>IF('Regional data'!S63&gt;0,'Regional data'!S63*Prod_RA*Size_dist_MQ_RA/(NB_MQ_RA*'Regional data'!P63),"-")</f>
        <v>-</v>
      </c>
      <c r="AD123" s="142" t="str">
        <f>IF('Regional data'!T63&gt;0,'Regional data'!T63*Prod_RA*Size_dist_SQ_RA/(NB_SQ_RA*'Regional data'!Q63),"-")</f>
        <v>-</v>
      </c>
      <c r="AE123" s="195" t="str">
        <f t="shared" si="30"/>
        <v>-</v>
      </c>
      <c r="AF123" s="196" t="str">
        <f t="shared" si="31"/>
        <v>-</v>
      </c>
      <c r="AG123" s="198" t="str">
        <f t="shared" si="32"/>
        <v>-</v>
      </c>
      <c r="AH123" s="191" t="str">
        <f t="shared" si="33"/>
        <v>-</v>
      </c>
      <c r="AI123" s="142" t="str">
        <f t="shared" si="34"/>
        <v>-</v>
      </c>
      <c r="AJ123" s="192" t="str">
        <f t="shared" si="35"/>
        <v>-</v>
      </c>
      <c r="AK123" s="82" t="str">
        <f>IF(AH123="-","-",AH123*NB_LQ_RA*'Regional data'!O63)</f>
        <v>-</v>
      </c>
      <c r="AL123" s="142" t="str">
        <f>IF(AI123="-","-",AI123*NB_MQ_RA*'Regional data'!P63)</f>
        <v>-</v>
      </c>
      <c r="AM123" s="134" t="str">
        <f>IF(AJ123="-","-",AJ123*NB_SQ_RA*'Regional data'!Q63)</f>
        <v>-</v>
      </c>
    </row>
    <row r="124" spans="2:39" x14ac:dyDescent="0.25">
      <c r="B124" s="80">
        <f>'Regional data'!B64</f>
        <v>0</v>
      </c>
      <c r="C124" s="85">
        <f>Coeff_wind_Erosion_CR*(365*(365-'Regional data'!V64)/235)*('Regional data'!W64/365*100/15)*1000</f>
        <v>0</v>
      </c>
      <c r="D124" s="142" t="str">
        <f>IF('Regional data'!F64&gt;0,'Regional data'!F64*Prod_CR*Size_dist_LQ_CR/(NB_LQ_CR*'Regional data'!C64),"-")</f>
        <v>-</v>
      </c>
      <c r="E124" s="142" t="str">
        <f>IF('Regional data'!G64&gt;0,'Regional data'!G64*Prod_CR*Size_dist_MQ_CR/(NB_MQ_CR*'Regional data'!D64),"-")</f>
        <v>-</v>
      </c>
      <c r="F124" s="142" t="str">
        <f>IF('Regional data'!H64&gt;0,'Regional data'!H64*Prod_CR*Size_dist_SQ_CR/(NB_SQ_CR*'Regional data'!E64),"-")</f>
        <v>-</v>
      </c>
      <c r="G124" s="195" t="str">
        <f t="shared" si="18"/>
        <v>-</v>
      </c>
      <c r="H124" s="196" t="str">
        <f t="shared" si="19"/>
        <v>-</v>
      </c>
      <c r="I124" s="198" t="str">
        <f t="shared" si="20"/>
        <v>-</v>
      </c>
      <c r="J124" s="191" t="str">
        <f t="shared" si="21"/>
        <v>-</v>
      </c>
      <c r="K124" s="142" t="str">
        <f t="shared" si="22"/>
        <v>-</v>
      </c>
      <c r="L124" s="192" t="str">
        <f t="shared" si="23"/>
        <v>-</v>
      </c>
      <c r="M124" s="142" t="str">
        <f>IF(J124="-","-",J124*NB_LQ_CR*'Regional data'!C64)</f>
        <v>-</v>
      </c>
      <c r="N124" s="142" t="str">
        <f>IF(K124="-","-",K124*NB_MQ_CR*'Regional data'!D64)</f>
        <v>-</v>
      </c>
      <c r="O124" s="142" t="str">
        <f>IF(L124="-","-",L124*NB_SQ_CR*'Regional data'!E64)</f>
        <v>-</v>
      </c>
      <c r="P124" s="141" t="str">
        <f>IF('Regional data'!L64&gt;0,'Regional data'!L64*Prod_CR*Size_dist_LQ_SG/(NB_LQ_SG*'Regional data'!I64),"-")</f>
        <v>-</v>
      </c>
      <c r="Q124" s="142" t="str">
        <f>IF('Regional data'!M64&gt;0,'Regional data'!M64*Prod_SG*Size_dist_MQ_SG/(NB_MQ_SG*'Regional data'!J64),"-")</f>
        <v>-</v>
      </c>
      <c r="R124" s="142" t="str">
        <f>IF('Regional data'!N64&gt;0,'Regional data'!N64*Prod_SG*Size_dist_SQ_SG/(NB_SQ_SG*'Regional data'!K64),"-")</f>
        <v>-</v>
      </c>
      <c r="S124" s="195" t="str">
        <f t="shared" si="24"/>
        <v>-</v>
      </c>
      <c r="T124" s="196" t="str">
        <f t="shared" si="25"/>
        <v>-</v>
      </c>
      <c r="U124" s="198" t="str">
        <f t="shared" si="26"/>
        <v>-</v>
      </c>
      <c r="V124" s="191" t="str">
        <f t="shared" si="27"/>
        <v>-</v>
      </c>
      <c r="W124" s="142" t="str">
        <f t="shared" si="28"/>
        <v>-</v>
      </c>
      <c r="X124" s="192" t="str">
        <f t="shared" si="29"/>
        <v>-</v>
      </c>
      <c r="Y124" s="191" t="str">
        <f>IF(V124="-","-",V124*NB_LQ_SG*'Regional data'!I64)</f>
        <v>-</v>
      </c>
      <c r="Z124" s="142" t="str">
        <f>IF(W124="-","-",W124*NB_MQ_SG*'Regional data'!J64)</f>
        <v>-</v>
      </c>
      <c r="AA124" s="192" t="str">
        <f>IF(X124="-","-",X124*NB_SQ_SG*'Regional data'!K64)</f>
        <v>-</v>
      </c>
      <c r="AB124" s="141" t="str">
        <f>IF('Regional data'!R64&gt;0,'Regional data'!R64*Prod_RA*Size_dist_LQ_RA/(NB_LQ_RA*'Regional data'!O64),"-")</f>
        <v>-</v>
      </c>
      <c r="AC124" s="142" t="str">
        <f>IF('Regional data'!S64&gt;0,'Regional data'!S64*Prod_RA*Size_dist_MQ_RA/(NB_MQ_RA*'Regional data'!P64),"-")</f>
        <v>-</v>
      </c>
      <c r="AD124" s="142" t="str">
        <f>IF('Regional data'!T64&gt;0,'Regional data'!T64*Prod_RA*Size_dist_SQ_RA/(NB_SQ_RA*'Regional data'!Q64),"-")</f>
        <v>-</v>
      </c>
      <c r="AE124" s="195" t="str">
        <f t="shared" si="30"/>
        <v>-</v>
      </c>
      <c r="AF124" s="196" t="str">
        <f t="shared" si="31"/>
        <v>-</v>
      </c>
      <c r="AG124" s="198" t="str">
        <f t="shared" si="32"/>
        <v>-</v>
      </c>
      <c r="AH124" s="191" t="str">
        <f t="shared" si="33"/>
        <v>-</v>
      </c>
      <c r="AI124" s="142" t="str">
        <f t="shared" si="34"/>
        <v>-</v>
      </c>
      <c r="AJ124" s="192" t="str">
        <f t="shared" si="35"/>
        <v>-</v>
      </c>
      <c r="AK124" s="82" t="str">
        <f>IF(AH124="-","-",AH124*NB_LQ_RA*'Regional data'!O64)</f>
        <v>-</v>
      </c>
      <c r="AL124" s="142" t="str">
        <f>IF(AI124="-","-",AI124*NB_MQ_RA*'Regional data'!P64)</f>
        <v>-</v>
      </c>
      <c r="AM124" s="134" t="str">
        <f>IF(AJ124="-","-",AJ124*NB_SQ_RA*'Regional data'!Q64)</f>
        <v>-</v>
      </c>
    </row>
    <row r="125" spans="2:39" x14ac:dyDescent="0.25">
      <c r="B125" s="80">
        <f>'Regional data'!B65</f>
        <v>0</v>
      </c>
      <c r="C125" s="85">
        <f>Coeff_wind_Erosion_CR*(365*(365-'Regional data'!V65)/235)*('Regional data'!W65/365*100/15)*1000</f>
        <v>0</v>
      </c>
      <c r="D125" s="142" t="str">
        <f>IF('Regional data'!F65&gt;0,'Regional data'!F65*Prod_CR*Size_dist_LQ_CR/(NB_LQ_CR*'Regional data'!C65),"-")</f>
        <v>-</v>
      </c>
      <c r="E125" s="142" t="str">
        <f>IF('Regional data'!G65&gt;0,'Regional data'!G65*Prod_CR*Size_dist_MQ_CR/(NB_MQ_CR*'Regional data'!D65),"-")</f>
        <v>-</v>
      </c>
      <c r="F125" s="142" t="str">
        <f>IF('Regional data'!H65&gt;0,'Regional data'!H65*Prod_CR*Size_dist_SQ_CR/(NB_SQ_CR*'Regional data'!E65),"-")</f>
        <v>-</v>
      </c>
      <c r="G125" s="195" t="str">
        <f t="shared" si="18"/>
        <v>-</v>
      </c>
      <c r="H125" s="196" t="str">
        <f t="shared" si="19"/>
        <v>-</v>
      </c>
      <c r="I125" s="198" t="str">
        <f t="shared" si="20"/>
        <v>-</v>
      </c>
      <c r="J125" s="191" t="str">
        <f t="shared" si="21"/>
        <v>-</v>
      </c>
      <c r="K125" s="142" t="str">
        <f t="shared" si="22"/>
        <v>-</v>
      </c>
      <c r="L125" s="192" t="str">
        <f t="shared" si="23"/>
        <v>-</v>
      </c>
      <c r="M125" s="142" t="str">
        <f>IF(J125="-","-",J125*NB_LQ_CR*'Regional data'!C65)</f>
        <v>-</v>
      </c>
      <c r="N125" s="142" t="str">
        <f>IF(K125="-","-",K125*NB_MQ_CR*'Regional data'!D65)</f>
        <v>-</v>
      </c>
      <c r="O125" s="142" t="str">
        <f>IF(L125="-","-",L125*NB_SQ_CR*'Regional data'!E65)</f>
        <v>-</v>
      </c>
      <c r="P125" s="141" t="str">
        <f>IF('Regional data'!L65&gt;0,'Regional data'!L65*Prod_CR*Size_dist_LQ_SG/(NB_LQ_SG*'Regional data'!I65),"-")</f>
        <v>-</v>
      </c>
      <c r="Q125" s="142" t="str">
        <f>IF('Regional data'!M65&gt;0,'Regional data'!M65*Prod_SG*Size_dist_MQ_SG/(NB_MQ_SG*'Regional data'!J65),"-")</f>
        <v>-</v>
      </c>
      <c r="R125" s="142" t="str">
        <f>IF('Regional data'!N65&gt;0,'Regional data'!N65*Prod_SG*Size_dist_SQ_SG/(NB_SQ_SG*'Regional data'!K65),"-")</f>
        <v>-</v>
      </c>
      <c r="S125" s="195" t="str">
        <f t="shared" si="24"/>
        <v>-</v>
      </c>
      <c r="T125" s="196" t="str">
        <f t="shared" si="25"/>
        <v>-</v>
      </c>
      <c r="U125" s="198" t="str">
        <f t="shared" si="26"/>
        <v>-</v>
      </c>
      <c r="V125" s="191" t="str">
        <f t="shared" si="27"/>
        <v>-</v>
      </c>
      <c r="W125" s="142" t="str">
        <f t="shared" si="28"/>
        <v>-</v>
      </c>
      <c r="X125" s="192" t="str">
        <f t="shared" si="29"/>
        <v>-</v>
      </c>
      <c r="Y125" s="191" t="str">
        <f>IF(V125="-","-",V125*NB_LQ_SG*'Regional data'!I65)</f>
        <v>-</v>
      </c>
      <c r="Z125" s="142" t="str">
        <f>IF(W125="-","-",W125*NB_MQ_SG*'Regional data'!J65)</f>
        <v>-</v>
      </c>
      <c r="AA125" s="192" t="str">
        <f>IF(X125="-","-",X125*NB_SQ_SG*'Regional data'!K65)</f>
        <v>-</v>
      </c>
      <c r="AB125" s="141" t="str">
        <f>IF('Regional data'!R65&gt;0,'Regional data'!R65*Prod_RA*Size_dist_LQ_RA/(NB_LQ_RA*'Regional data'!O65),"-")</f>
        <v>-</v>
      </c>
      <c r="AC125" s="142" t="str">
        <f>IF('Regional data'!S65&gt;0,'Regional data'!S65*Prod_RA*Size_dist_MQ_RA/(NB_MQ_RA*'Regional data'!P65),"-")</f>
        <v>-</v>
      </c>
      <c r="AD125" s="142" t="str">
        <f>IF('Regional data'!T65&gt;0,'Regional data'!T65*Prod_RA*Size_dist_SQ_RA/(NB_SQ_RA*'Regional data'!Q65),"-")</f>
        <v>-</v>
      </c>
      <c r="AE125" s="195" t="str">
        <f t="shared" si="30"/>
        <v>-</v>
      </c>
      <c r="AF125" s="196" t="str">
        <f t="shared" si="31"/>
        <v>-</v>
      </c>
      <c r="AG125" s="198" t="str">
        <f t="shared" si="32"/>
        <v>-</v>
      </c>
      <c r="AH125" s="191" t="str">
        <f t="shared" si="33"/>
        <v>-</v>
      </c>
      <c r="AI125" s="142" t="str">
        <f t="shared" si="34"/>
        <v>-</v>
      </c>
      <c r="AJ125" s="192" t="str">
        <f t="shared" si="35"/>
        <v>-</v>
      </c>
      <c r="AK125" s="82" t="str">
        <f>IF(AH125="-","-",AH125*NB_LQ_RA*'Regional data'!O65)</f>
        <v>-</v>
      </c>
      <c r="AL125" s="142" t="str">
        <f>IF(AI125="-","-",AI125*NB_MQ_RA*'Regional data'!P65)</f>
        <v>-</v>
      </c>
      <c r="AM125" s="134" t="str">
        <f>IF(AJ125="-","-",AJ125*NB_SQ_RA*'Regional data'!Q65)</f>
        <v>-</v>
      </c>
    </row>
    <row r="126" spans="2:39" x14ac:dyDescent="0.25">
      <c r="B126" s="80">
        <f>'Regional data'!B66</f>
        <v>0</v>
      </c>
      <c r="C126" s="85">
        <f>Coeff_wind_Erosion_CR*(365*(365-'Regional data'!V66)/235)*('Regional data'!W66/365*100/15)*1000</f>
        <v>0</v>
      </c>
      <c r="D126" s="142" t="str">
        <f>IF('Regional data'!F66&gt;0,'Regional data'!F66*Prod_CR*Size_dist_LQ_CR/(NB_LQ_CR*'Regional data'!C66),"-")</f>
        <v>-</v>
      </c>
      <c r="E126" s="142" t="str">
        <f>IF('Regional data'!G66&gt;0,'Regional data'!G66*Prod_CR*Size_dist_MQ_CR/(NB_MQ_CR*'Regional data'!D66),"-")</f>
        <v>-</v>
      </c>
      <c r="F126" s="142" t="str">
        <f>IF('Regional data'!H66&gt;0,'Regional data'!H66*Prod_CR*Size_dist_SQ_CR/(NB_SQ_CR*'Regional data'!E66),"-")</f>
        <v>-</v>
      </c>
      <c r="G126" s="195" t="str">
        <f t="shared" si="18"/>
        <v>-</v>
      </c>
      <c r="H126" s="196" t="str">
        <f t="shared" si="19"/>
        <v>-</v>
      </c>
      <c r="I126" s="198" t="str">
        <f t="shared" si="20"/>
        <v>-</v>
      </c>
      <c r="J126" s="191" t="str">
        <f t="shared" si="21"/>
        <v>-</v>
      </c>
      <c r="K126" s="142" t="str">
        <f t="shared" si="22"/>
        <v>-</v>
      </c>
      <c r="L126" s="192" t="str">
        <f t="shared" si="23"/>
        <v>-</v>
      </c>
      <c r="M126" s="142" t="str">
        <f>IF(J126="-","-",J126*NB_LQ_CR*'Regional data'!C66)</f>
        <v>-</v>
      </c>
      <c r="N126" s="142" t="str">
        <f>IF(K126="-","-",K126*NB_MQ_CR*'Regional data'!D66)</f>
        <v>-</v>
      </c>
      <c r="O126" s="142" t="str">
        <f>IF(L126="-","-",L126*NB_SQ_CR*'Regional data'!E66)</f>
        <v>-</v>
      </c>
      <c r="P126" s="141" t="str">
        <f>IF('Regional data'!L66&gt;0,'Regional data'!L66*Prod_CR*Size_dist_LQ_SG/(NB_LQ_SG*'Regional data'!I66),"-")</f>
        <v>-</v>
      </c>
      <c r="Q126" s="142" t="str">
        <f>IF('Regional data'!M66&gt;0,'Regional data'!M66*Prod_SG*Size_dist_MQ_SG/(NB_MQ_SG*'Regional data'!J66),"-")</f>
        <v>-</v>
      </c>
      <c r="R126" s="142" t="str">
        <f>IF('Regional data'!N66&gt;0,'Regional data'!N66*Prod_SG*Size_dist_SQ_SG/(NB_SQ_SG*'Regional data'!K66),"-")</f>
        <v>-</v>
      </c>
      <c r="S126" s="195" t="str">
        <f t="shared" si="24"/>
        <v>-</v>
      </c>
      <c r="T126" s="196" t="str">
        <f t="shared" si="25"/>
        <v>-</v>
      </c>
      <c r="U126" s="198" t="str">
        <f t="shared" si="26"/>
        <v>-</v>
      </c>
      <c r="V126" s="191" t="str">
        <f t="shared" si="27"/>
        <v>-</v>
      </c>
      <c r="W126" s="142" t="str">
        <f t="shared" si="28"/>
        <v>-</v>
      </c>
      <c r="X126" s="192" t="str">
        <f t="shared" si="29"/>
        <v>-</v>
      </c>
      <c r="Y126" s="191" t="str">
        <f>IF(V126="-","-",V126*NB_LQ_SG*'Regional data'!I66)</f>
        <v>-</v>
      </c>
      <c r="Z126" s="142" t="str">
        <f>IF(W126="-","-",W126*NB_MQ_SG*'Regional data'!J66)</f>
        <v>-</v>
      </c>
      <c r="AA126" s="192" t="str">
        <f>IF(X126="-","-",X126*NB_SQ_SG*'Regional data'!K66)</f>
        <v>-</v>
      </c>
      <c r="AB126" s="141" t="str">
        <f>IF('Regional data'!R66&gt;0,'Regional data'!R66*Prod_RA*Size_dist_LQ_RA/(NB_LQ_RA*'Regional data'!O66),"-")</f>
        <v>-</v>
      </c>
      <c r="AC126" s="142" t="str">
        <f>IF('Regional data'!S66&gt;0,'Regional data'!S66*Prod_RA*Size_dist_MQ_RA/(NB_MQ_RA*'Regional data'!P66),"-")</f>
        <v>-</v>
      </c>
      <c r="AD126" s="142" t="str">
        <f>IF('Regional data'!T66&gt;0,'Regional data'!T66*Prod_RA*Size_dist_SQ_RA/(NB_SQ_RA*'Regional data'!Q66),"-")</f>
        <v>-</v>
      </c>
      <c r="AE126" s="195" t="str">
        <f t="shared" si="30"/>
        <v>-</v>
      </c>
      <c r="AF126" s="196" t="str">
        <f t="shared" si="31"/>
        <v>-</v>
      </c>
      <c r="AG126" s="198" t="str">
        <f t="shared" si="32"/>
        <v>-</v>
      </c>
      <c r="AH126" s="191" t="str">
        <f t="shared" si="33"/>
        <v>-</v>
      </c>
      <c r="AI126" s="142" t="str">
        <f t="shared" si="34"/>
        <v>-</v>
      </c>
      <c r="AJ126" s="192" t="str">
        <f t="shared" si="35"/>
        <v>-</v>
      </c>
      <c r="AK126" s="82" t="str">
        <f>IF(AH126="-","-",AH126*NB_LQ_RA*'Regional data'!O66)</f>
        <v>-</v>
      </c>
      <c r="AL126" s="142" t="str">
        <f>IF(AI126="-","-",AI126*NB_MQ_RA*'Regional data'!P66)</f>
        <v>-</v>
      </c>
      <c r="AM126" s="134" t="str">
        <f>IF(AJ126="-","-",AJ126*NB_SQ_RA*'Regional data'!Q66)</f>
        <v>-</v>
      </c>
    </row>
    <row r="127" spans="2:39" x14ac:dyDescent="0.25">
      <c r="B127" s="80">
        <f>'Regional data'!B67</f>
        <v>0</v>
      </c>
      <c r="C127" s="85">
        <f>Coeff_wind_Erosion_CR*(365*(365-'Regional data'!V67)/235)*('Regional data'!W67/365*100/15)*1000</f>
        <v>0</v>
      </c>
      <c r="D127" s="142" t="str">
        <f>IF('Regional data'!F67&gt;0,'Regional data'!F67*Prod_CR*Size_dist_LQ_CR/(NB_LQ_CR*'Regional data'!C67),"-")</f>
        <v>-</v>
      </c>
      <c r="E127" s="142" t="str">
        <f>IF('Regional data'!G67&gt;0,'Regional data'!G67*Prod_CR*Size_dist_MQ_CR/(NB_MQ_CR*'Regional data'!D67),"-")</f>
        <v>-</v>
      </c>
      <c r="F127" s="142" t="str">
        <f>IF('Regional data'!H67&gt;0,'Regional data'!H67*Prod_CR*Size_dist_SQ_CR/(NB_SQ_CR*'Regional data'!E67),"-")</f>
        <v>-</v>
      </c>
      <c r="G127" s="195" t="str">
        <f t="shared" ref="G127:G158" si="36">IF(D127="-","-",D127*1000/Density_stockpiles_CR/Stockpile_V_LQ_CR*Weeks_stored_LQ_CR/52)</f>
        <v>-</v>
      </c>
      <c r="H127" s="196" t="str">
        <f t="shared" ref="H127:H158" si="37">IF(E127="-","-",E127*1000/Density_stockpiles_CR/Stockpile_V_MQ_CR*Weeks_stored_MQ_CR/52)</f>
        <v>-</v>
      </c>
      <c r="I127" s="198" t="str">
        <f t="shared" ref="I127:I158" si="38">IF(F127="-","-",F127*1000/Density_stockpiles_CR/Stockpile_V_SQ_CR*Weeks_stored_SQ_CR/52)</f>
        <v>-</v>
      </c>
      <c r="J127" s="191" t="str">
        <f t="shared" ref="J127:J158" si="39">IF(G127="-","-",(ROUNDDOWN(G127,0)+(G127-ROUNDDOWN(G127,0))^(2/3))*Std_Surf_LQ_CR)</f>
        <v>-</v>
      </c>
      <c r="K127" s="142" t="str">
        <f t="shared" ref="K127:K158" si="40">IF(H127="-","-",(ROUNDDOWN(H127,0)+(H127-ROUNDDOWN(H127,0))^(2/3))*Std_Surf_MQ_CR)</f>
        <v>-</v>
      </c>
      <c r="L127" s="192" t="str">
        <f t="shared" ref="L127:L158" si="41">IF(I127="-","-",(ROUNDDOWN(I127,0)+(I127-ROUNDDOWN(I127,0))^(2/3))*Std_Surf_SQ_CR)</f>
        <v>-</v>
      </c>
      <c r="M127" s="142" t="str">
        <f>IF(J127="-","-",J127*NB_LQ_CR*'Regional data'!C67)</f>
        <v>-</v>
      </c>
      <c r="N127" s="142" t="str">
        <f>IF(K127="-","-",K127*NB_MQ_CR*'Regional data'!D67)</f>
        <v>-</v>
      </c>
      <c r="O127" s="142" t="str">
        <f>IF(L127="-","-",L127*NB_SQ_CR*'Regional data'!E67)</f>
        <v>-</v>
      </c>
      <c r="P127" s="141" t="str">
        <f>IF('Regional data'!L67&gt;0,'Regional data'!L67*Prod_CR*Size_dist_LQ_SG/(NB_LQ_SG*'Regional data'!I67),"-")</f>
        <v>-</v>
      </c>
      <c r="Q127" s="142" t="str">
        <f>IF('Regional data'!M67&gt;0,'Regional data'!M67*Prod_SG*Size_dist_MQ_SG/(NB_MQ_SG*'Regional data'!J67),"-")</f>
        <v>-</v>
      </c>
      <c r="R127" s="142" t="str">
        <f>IF('Regional data'!N67&gt;0,'Regional data'!N67*Prod_SG*Size_dist_SQ_SG/(NB_SQ_SG*'Regional data'!K67),"-")</f>
        <v>-</v>
      </c>
      <c r="S127" s="195" t="str">
        <f t="shared" ref="S127:S158" si="42">IF(P127="-","-",P127*1000/Density_stockpiles_SG/Stockpile_V_LQ_SG*Weeks_stored_LQ_SG/52)</f>
        <v>-</v>
      </c>
      <c r="T127" s="196" t="str">
        <f t="shared" ref="T127:T158" si="43">IF(Q127="-","-",Q127*1000/Density_stockpiles_SG/Stockpile_V_MQ_SG*Weeks_stored_MQ_SG/52)</f>
        <v>-</v>
      </c>
      <c r="U127" s="198" t="str">
        <f t="shared" ref="U127:U158" si="44">IF(R127="-","-",R127*1000/Density_stockpiles_SG/Stockpile_V_SQ_SG*Weeks_stored_SQ_SG/52)</f>
        <v>-</v>
      </c>
      <c r="V127" s="191" t="str">
        <f t="shared" ref="V127:V158" si="45">IF(S127="-","-",(ROUNDDOWN(S127,0)+(S127-ROUNDDOWN(S127,0))^(2/3))*Std_Surf_LQ_SG)</f>
        <v>-</v>
      </c>
      <c r="W127" s="142" t="str">
        <f t="shared" ref="W127:W158" si="46">IF(T127="-","-",(ROUNDDOWN(T127,0)+(T127-ROUNDDOWN(T127,0))^(2/3))*Std_Surf_MQ_SG)</f>
        <v>-</v>
      </c>
      <c r="X127" s="192" t="str">
        <f t="shared" ref="X127:X158" si="47">IF(U127="-","-",(ROUNDDOWN(U127,0)+(U127-ROUNDDOWN(U127,0))^(2/3))*Std_Surf_SQ_SG)</f>
        <v>-</v>
      </c>
      <c r="Y127" s="191" t="str">
        <f>IF(V127="-","-",V127*NB_LQ_SG*'Regional data'!I67)</f>
        <v>-</v>
      </c>
      <c r="Z127" s="142" t="str">
        <f>IF(W127="-","-",W127*NB_MQ_SG*'Regional data'!J67)</f>
        <v>-</v>
      </c>
      <c r="AA127" s="192" t="str">
        <f>IF(X127="-","-",X127*NB_SQ_SG*'Regional data'!K67)</f>
        <v>-</v>
      </c>
      <c r="AB127" s="141" t="str">
        <f>IF('Regional data'!R67&gt;0,'Regional data'!R67*Prod_RA*Size_dist_LQ_RA/(NB_LQ_RA*'Regional data'!O67),"-")</f>
        <v>-</v>
      </c>
      <c r="AC127" s="142" t="str">
        <f>IF('Regional data'!S67&gt;0,'Regional data'!S67*Prod_RA*Size_dist_MQ_RA/(NB_MQ_RA*'Regional data'!P67),"-")</f>
        <v>-</v>
      </c>
      <c r="AD127" s="142" t="str">
        <f>IF('Regional data'!T67&gt;0,'Regional data'!T67*Prod_RA*Size_dist_SQ_RA/(NB_SQ_RA*'Regional data'!Q67),"-")</f>
        <v>-</v>
      </c>
      <c r="AE127" s="195" t="str">
        <f t="shared" ref="AE127:AE158" si="48">IF(AB127="-","-",AB127*1000/Density_stockpiles_CR/Stockpile_V_LQ_CR*Weeks_stored_LQ_CR/52)</f>
        <v>-</v>
      </c>
      <c r="AF127" s="196" t="str">
        <f t="shared" ref="AF127:AF158" si="49">IF(AC127="-","-",AC127*1000/Density_stockpiles_CR/Stockpile_V_MQ_CR*Weeks_stored_MQ_CR/52)</f>
        <v>-</v>
      </c>
      <c r="AG127" s="198" t="str">
        <f t="shared" ref="AG127:AG158" si="50">IF(AD127="-","-",AD127*1000/Density_stockpiles_CR/Stockpile_V_SQ_CR*Weeks_stored_SQ_CR/52)</f>
        <v>-</v>
      </c>
      <c r="AH127" s="191" t="str">
        <f t="shared" ref="AH127:AH158" si="51">IF(AE127="-","-",(ROUNDDOWN(AE127,0)+(AE127-ROUNDDOWN(AE127,0))^(2/3))*Std_Surf_LQ_CR)</f>
        <v>-</v>
      </c>
      <c r="AI127" s="142" t="str">
        <f t="shared" ref="AI127:AI158" si="52">IF(AF127="-","-",(ROUNDDOWN(AF127,0)+(AF127-ROUNDDOWN(AF127,0))^(2/3))*Std_Surf_MQ_CR)</f>
        <v>-</v>
      </c>
      <c r="AJ127" s="192" t="str">
        <f t="shared" ref="AJ127:AJ158" si="53">IF(AG127="-","-",(ROUNDDOWN(AG127,0)+(AG127-ROUNDDOWN(AG127,0))^(2/3))*Std_Surf_SQ_CR)</f>
        <v>-</v>
      </c>
      <c r="AK127" s="82" t="str">
        <f>IF(AH127="-","-",AH127*NB_LQ_RA*'Regional data'!O67)</f>
        <v>-</v>
      </c>
      <c r="AL127" s="142" t="str">
        <f>IF(AI127="-","-",AI127*NB_MQ_RA*'Regional data'!P67)</f>
        <v>-</v>
      </c>
      <c r="AM127" s="134" t="str">
        <f>IF(AJ127="-","-",AJ127*NB_SQ_RA*'Regional data'!Q67)</f>
        <v>-</v>
      </c>
    </row>
    <row r="128" spans="2:39" x14ac:dyDescent="0.25">
      <c r="B128" s="80">
        <f>'Regional data'!B68</f>
        <v>0</v>
      </c>
      <c r="C128" s="85">
        <f>Coeff_wind_Erosion_CR*(365*(365-'Regional data'!V68)/235)*('Regional data'!W68/365*100/15)*1000</f>
        <v>0</v>
      </c>
      <c r="D128" s="142" t="str">
        <f>IF('Regional data'!F68&gt;0,'Regional data'!F68*Prod_CR*Size_dist_LQ_CR/(NB_LQ_CR*'Regional data'!C68),"-")</f>
        <v>-</v>
      </c>
      <c r="E128" s="142" t="str">
        <f>IF('Regional data'!G68&gt;0,'Regional data'!G68*Prod_CR*Size_dist_MQ_CR/(NB_MQ_CR*'Regional data'!D68),"-")</f>
        <v>-</v>
      </c>
      <c r="F128" s="142" t="str">
        <f>IF('Regional data'!H68&gt;0,'Regional data'!H68*Prod_CR*Size_dist_SQ_CR/(NB_SQ_CR*'Regional data'!E68),"-")</f>
        <v>-</v>
      </c>
      <c r="G128" s="195" t="str">
        <f t="shared" si="36"/>
        <v>-</v>
      </c>
      <c r="H128" s="196" t="str">
        <f t="shared" si="37"/>
        <v>-</v>
      </c>
      <c r="I128" s="198" t="str">
        <f t="shared" si="38"/>
        <v>-</v>
      </c>
      <c r="J128" s="191" t="str">
        <f t="shared" si="39"/>
        <v>-</v>
      </c>
      <c r="K128" s="142" t="str">
        <f t="shared" si="40"/>
        <v>-</v>
      </c>
      <c r="L128" s="192" t="str">
        <f t="shared" si="41"/>
        <v>-</v>
      </c>
      <c r="M128" s="142" t="str">
        <f>IF(J128="-","-",J128*NB_LQ_CR*'Regional data'!C68)</f>
        <v>-</v>
      </c>
      <c r="N128" s="142" t="str">
        <f>IF(K128="-","-",K128*NB_MQ_CR*'Regional data'!D68)</f>
        <v>-</v>
      </c>
      <c r="O128" s="142" t="str">
        <f>IF(L128="-","-",L128*NB_SQ_CR*'Regional data'!E68)</f>
        <v>-</v>
      </c>
      <c r="P128" s="141" t="str">
        <f>IF('Regional data'!L68&gt;0,'Regional data'!L68*Prod_CR*Size_dist_LQ_SG/(NB_LQ_SG*'Regional data'!I68),"-")</f>
        <v>-</v>
      </c>
      <c r="Q128" s="142" t="str">
        <f>IF('Regional data'!M68&gt;0,'Regional data'!M68*Prod_SG*Size_dist_MQ_SG/(NB_MQ_SG*'Regional data'!J68),"-")</f>
        <v>-</v>
      </c>
      <c r="R128" s="142" t="str">
        <f>IF('Regional data'!N68&gt;0,'Regional data'!N68*Prod_SG*Size_dist_SQ_SG/(NB_SQ_SG*'Regional data'!K68),"-")</f>
        <v>-</v>
      </c>
      <c r="S128" s="195" t="str">
        <f t="shared" si="42"/>
        <v>-</v>
      </c>
      <c r="T128" s="196" t="str">
        <f t="shared" si="43"/>
        <v>-</v>
      </c>
      <c r="U128" s="198" t="str">
        <f t="shared" si="44"/>
        <v>-</v>
      </c>
      <c r="V128" s="191" t="str">
        <f t="shared" si="45"/>
        <v>-</v>
      </c>
      <c r="W128" s="142" t="str">
        <f t="shared" si="46"/>
        <v>-</v>
      </c>
      <c r="X128" s="192" t="str">
        <f t="shared" si="47"/>
        <v>-</v>
      </c>
      <c r="Y128" s="191" t="str">
        <f>IF(V128="-","-",V128*NB_LQ_SG*'Regional data'!I68)</f>
        <v>-</v>
      </c>
      <c r="Z128" s="142" t="str">
        <f>IF(W128="-","-",W128*NB_MQ_SG*'Regional data'!J68)</f>
        <v>-</v>
      </c>
      <c r="AA128" s="192" t="str">
        <f>IF(X128="-","-",X128*NB_SQ_SG*'Regional data'!K68)</f>
        <v>-</v>
      </c>
      <c r="AB128" s="141" t="str">
        <f>IF('Regional data'!R68&gt;0,'Regional data'!R68*Prod_RA*Size_dist_LQ_RA/(NB_LQ_RA*'Regional data'!O68),"-")</f>
        <v>-</v>
      </c>
      <c r="AC128" s="142" t="str">
        <f>IF('Regional data'!S68&gt;0,'Regional data'!S68*Prod_RA*Size_dist_MQ_RA/(NB_MQ_RA*'Regional data'!P68),"-")</f>
        <v>-</v>
      </c>
      <c r="AD128" s="142" t="str">
        <f>IF('Regional data'!T68&gt;0,'Regional data'!T68*Prod_RA*Size_dist_SQ_RA/(NB_SQ_RA*'Regional data'!Q68),"-")</f>
        <v>-</v>
      </c>
      <c r="AE128" s="195" t="str">
        <f t="shared" si="48"/>
        <v>-</v>
      </c>
      <c r="AF128" s="196" t="str">
        <f t="shared" si="49"/>
        <v>-</v>
      </c>
      <c r="AG128" s="198" t="str">
        <f t="shared" si="50"/>
        <v>-</v>
      </c>
      <c r="AH128" s="191" t="str">
        <f t="shared" si="51"/>
        <v>-</v>
      </c>
      <c r="AI128" s="142" t="str">
        <f t="shared" si="52"/>
        <v>-</v>
      </c>
      <c r="AJ128" s="192" t="str">
        <f t="shared" si="53"/>
        <v>-</v>
      </c>
      <c r="AK128" s="82" t="str">
        <f>IF(AH128="-","-",AH128*NB_LQ_RA*'Regional data'!O68)</f>
        <v>-</v>
      </c>
      <c r="AL128" s="142" t="str">
        <f>IF(AI128="-","-",AI128*NB_MQ_RA*'Regional data'!P68)</f>
        <v>-</v>
      </c>
      <c r="AM128" s="134" t="str">
        <f>IF(AJ128="-","-",AJ128*NB_SQ_RA*'Regional data'!Q68)</f>
        <v>-</v>
      </c>
    </row>
    <row r="129" spans="2:39" x14ac:dyDescent="0.25">
      <c r="B129" s="80">
        <f>'Regional data'!B69</f>
        <v>0</v>
      </c>
      <c r="C129" s="85">
        <f>Coeff_wind_Erosion_CR*(365*(365-'Regional data'!V69)/235)*('Regional data'!W69/365*100/15)*1000</f>
        <v>0</v>
      </c>
      <c r="D129" s="142" t="str">
        <f>IF('Regional data'!F69&gt;0,'Regional data'!F69*Prod_CR*Size_dist_LQ_CR/(NB_LQ_CR*'Regional data'!C69),"-")</f>
        <v>-</v>
      </c>
      <c r="E129" s="142" t="str">
        <f>IF('Regional data'!G69&gt;0,'Regional data'!G69*Prod_CR*Size_dist_MQ_CR/(NB_MQ_CR*'Regional data'!D69),"-")</f>
        <v>-</v>
      </c>
      <c r="F129" s="142" t="str">
        <f>IF('Regional data'!H69&gt;0,'Regional data'!H69*Prod_CR*Size_dist_SQ_CR/(NB_SQ_CR*'Regional data'!E69),"-")</f>
        <v>-</v>
      </c>
      <c r="G129" s="195" t="str">
        <f t="shared" si="36"/>
        <v>-</v>
      </c>
      <c r="H129" s="196" t="str">
        <f t="shared" si="37"/>
        <v>-</v>
      </c>
      <c r="I129" s="198" t="str">
        <f t="shared" si="38"/>
        <v>-</v>
      </c>
      <c r="J129" s="191" t="str">
        <f t="shared" si="39"/>
        <v>-</v>
      </c>
      <c r="K129" s="142" t="str">
        <f t="shared" si="40"/>
        <v>-</v>
      </c>
      <c r="L129" s="192" t="str">
        <f t="shared" si="41"/>
        <v>-</v>
      </c>
      <c r="M129" s="142" t="str">
        <f>IF(J129="-","-",J129*NB_LQ_CR*'Regional data'!C69)</f>
        <v>-</v>
      </c>
      <c r="N129" s="142" t="str">
        <f>IF(K129="-","-",K129*NB_MQ_CR*'Regional data'!D69)</f>
        <v>-</v>
      </c>
      <c r="O129" s="142" t="str">
        <f>IF(L129="-","-",L129*NB_SQ_CR*'Regional data'!E69)</f>
        <v>-</v>
      </c>
      <c r="P129" s="141" t="str">
        <f>IF('Regional data'!L69&gt;0,'Regional data'!L69*Prod_CR*Size_dist_LQ_SG/(NB_LQ_SG*'Regional data'!I69),"-")</f>
        <v>-</v>
      </c>
      <c r="Q129" s="142" t="str">
        <f>IF('Regional data'!M69&gt;0,'Regional data'!M69*Prod_SG*Size_dist_MQ_SG/(NB_MQ_SG*'Regional data'!J69),"-")</f>
        <v>-</v>
      </c>
      <c r="R129" s="142" t="str">
        <f>IF('Regional data'!N69&gt;0,'Regional data'!N69*Prod_SG*Size_dist_SQ_SG/(NB_SQ_SG*'Regional data'!K69),"-")</f>
        <v>-</v>
      </c>
      <c r="S129" s="195" t="str">
        <f t="shared" si="42"/>
        <v>-</v>
      </c>
      <c r="T129" s="196" t="str">
        <f t="shared" si="43"/>
        <v>-</v>
      </c>
      <c r="U129" s="198" t="str">
        <f t="shared" si="44"/>
        <v>-</v>
      </c>
      <c r="V129" s="191" t="str">
        <f t="shared" si="45"/>
        <v>-</v>
      </c>
      <c r="W129" s="142" t="str">
        <f t="shared" si="46"/>
        <v>-</v>
      </c>
      <c r="X129" s="192" t="str">
        <f t="shared" si="47"/>
        <v>-</v>
      </c>
      <c r="Y129" s="191" t="str">
        <f>IF(V129="-","-",V129*NB_LQ_SG*'Regional data'!I69)</f>
        <v>-</v>
      </c>
      <c r="Z129" s="142" t="str">
        <f>IF(W129="-","-",W129*NB_MQ_SG*'Regional data'!J69)</f>
        <v>-</v>
      </c>
      <c r="AA129" s="192" t="str">
        <f>IF(X129="-","-",X129*NB_SQ_SG*'Regional data'!K69)</f>
        <v>-</v>
      </c>
      <c r="AB129" s="141" t="str">
        <f>IF('Regional data'!R69&gt;0,'Regional data'!R69*Prod_RA*Size_dist_LQ_RA/(NB_LQ_RA*'Regional data'!O69),"-")</f>
        <v>-</v>
      </c>
      <c r="AC129" s="142" t="str">
        <f>IF('Regional data'!S69&gt;0,'Regional data'!S69*Prod_RA*Size_dist_MQ_RA/(NB_MQ_RA*'Regional data'!P69),"-")</f>
        <v>-</v>
      </c>
      <c r="AD129" s="142" t="str">
        <f>IF('Regional data'!T69&gt;0,'Regional data'!T69*Prod_RA*Size_dist_SQ_RA/(NB_SQ_RA*'Regional data'!Q69),"-")</f>
        <v>-</v>
      </c>
      <c r="AE129" s="195" t="str">
        <f t="shared" si="48"/>
        <v>-</v>
      </c>
      <c r="AF129" s="196" t="str">
        <f t="shared" si="49"/>
        <v>-</v>
      </c>
      <c r="AG129" s="198" t="str">
        <f t="shared" si="50"/>
        <v>-</v>
      </c>
      <c r="AH129" s="191" t="str">
        <f t="shared" si="51"/>
        <v>-</v>
      </c>
      <c r="AI129" s="142" t="str">
        <f t="shared" si="52"/>
        <v>-</v>
      </c>
      <c r="AJ129" s="192" t="str">
        <f t="shared" si="53"/>
        <v>-</v>
      </c>
      <c r="AK129" s="82" t="str">
        <f>IF(AH129="-","-",AH129*NB_LQ_RA*'Regional data'!O69)</f>
        <v>-</v>
      </c>
      <c r="AL129" s="142" t="str">
        <f>IF(AI129="-","-",AI129*NB_MQ_RA*'Regional data'!P69)</f>
        <v>-</v>
      </c>
      <c r="AM129" s="134" t="str">
        <f>IF(AJ129="-","-",AJ129*NB_SQ_RA*'Regional data'!Q69)</f>
        <v>-</v>
      </c>
    </row>
    <row r="130" spans="2:39" x14ac:dyDescent="0.25">
      <c r="B130" s="80">
        <f>'Regional data'!B70</f>
        <v>0</v>
      </c>
      <c r="C130" s="85">
        <f>Coeff_wind_Erosion_CR*(365*(365-'Regional data'!V70)/235)*('Regional data'!W70/365*100/15)*1000</f>
        <v>0</v>
      </c>
      <c r="D130" s="142" t="str">
        <f>IF('Regional data'!F70&gt;0,'Regional data'!F70*Prod_CR*Size_dist_LQ_CR/(NB_LQ_CR*'Regional data'!C70),"-")</f>
        <v>-</v>
      </c>
      <c r="E130" s="142" t="str">
        <f>IF('Regional data'!G70&gt;0,'Regional data'!G70*Prod_CR*Size_dist_MQ_CR/(NB_MQ_CR*'Regional data'!D70),"-")</f>
        <v>-</v>
      </c>
      <c r="F130" s="142" t="str">
        <f>IF('Regional data'!H70&gt;0,'Regional data'!H70*Prod_CR*Size_dist_SQ_CR/(NB_SQ_CR*'Regional data'!E70),"-")</f>
        <v>-</v>
      </c>
      <c r="G130" s="195" t="str">
        <f t="shared" si="36"/>
        <v>-</v>
      </c>
      <c r="H130" s="196" t="str">
        <f t="shared" si="37"/>
        <v>-</v>
      </c>
      <c r="I130" s="198" t="str">
        <f t="shared" si="38"/>
        <v>-</v>
      </c>
      <c r="J130" s="191" t="str">
        <f t="shared" si="39"/>
        <v>-</v>
      </c>
      <c r="K130" s="142" t="str">
        <f t="shared" si="40"/>
        <v>-</v>
      </c>
      <c r="L130" s="192" t="str">
        <f t="shared" si="41"/>
        <v>-</v>
      </c>
      <c r="M130" s="142" t="str">
        <f>IF(J130="-","-",J130*NB_LQ_CR*'Regional data'!C70)</f>
        <v>-</v>
      </c>
      <c r="N130" s="142" t="str">
        <f>IF(K130="-","-",K130*NB_MQ_CR*'Regional data'!D70)</f>
        <v>-</v>
      </c>
      <c r="O130" s="142" t="str">
        <f>IF(L130="-","-",L130*NB_SQ_CR*'Regional data'!E70)</f>
        <v>-</v>
      </c>
      <c r="P130" s="141" t="str">
        <f>IF('Regional data'!L70&gt;0,'Regional data'!L70*Prod_CR*Size_dist_LQ_SG/(NB_LQ_SG*'Regional data'!I70),"-")</f>
        <v>-</v>
      </c>
      <c r="Q130" s="142" t="str">
        <f>IF('Regional data'!M70&gt;0,'Regional data'!M70*Prod_SG*Size_dist_MQ_SG/(NB_MQ_SG*'Regional data'!J70),"-")</f>
        <v>-</v>
      </c>
      <c r="R130" s="142" t="str">
        <f>IF('Regional data'!N70&gt;0,'Regional data'!N70*Prod_SG*Size_dist_SQ_SG/(NB_SQ_SG*'Regional data'!K70),"-")</f>
        <v>-</v>
      </c>
      <c r="S130" s="195" t="str">
        <f t="shared" si="42"/>
        <v>-</v>
      </c>
      <c r="T130" s="196" t="str">
        <f t="shared" si="43"/>
        <v>-</v>
      </c>
      <c r="U130" s="198" t="str">
        <f t="shared" si="44"/>
        <v>-</v>
      </c>
      <c r="V130" s="191" t="str">
        <f t="shared" si="45"/>
        <v>-</v>
      </c>
      <c r="W130" s="142" t="str">
        <f t="shared" si="46"/>
        <v>-</v>
      </c>
      <c r="X130" s="192" t="str">
        <f t="shared" si="47"/>
        <v>-</v>
      </c>
      <c r="Y130" s="191" t="str">
        <f>IF(V130="-","-",V130*NB_LQ_SG*'Regional data'!I70)</f>
        <v>-</v>
      </c>
      <c r="Z130" s="142" t="str">
        <f>IF(W130="-","-",W130*NB_MQ_SG*'Regional data'!J70)</f>
        <v>-</v>
      </c>
      <c r="AA130" s="192" t="str">
        <f>IF(X130="-","-",X130*NB_SQ_SG*'Regional data'!K70)</f>
        <v>-</v>
      </c>
      <c r="AB130" s="141" t="str">
        <f>IF('Regional data'!R70&gt;0,'Regional data'!R70*Prod_RA*Size_dist_LQ_RA/(NB_LQ_RA*'Regional data'!O70),"-")</f>
        <v>-</v>
      </c>
      <c r="AC130" s="142" t="str">
        <f>IF('Regional data'!S70&gt;0,'Regional data'!S70*Prod_RA*Size_dist_MQ_RA/(NB_MQ_RA*'Regional data'!P70),"-")</f>
        <v>-</v>
      </c>
      <c r="AD130" s="142" t="str">
        <f>IF('Regional data'!T70&gt;0,'Regional data'!T70*Prod_RA*Size_dist_SQ_RA/(NB_SQ_RA*'Regional data'!Q70),"-")</f>
        <v>-</v>
      </c>
      <c r="AE130" s="195" t="str">
        <f t="shared" si="48"/>
        <v>-</v>
      </c>
      <c r="AF130" s="196" t="str">
        <f t="shared" si="49"/>
        <v>-</v>
      </c>
      <c r="AG130" s="198" t="str">
        <f t="shared" si="50"/>
        <v>-</v>
      </c>
      <c r="AH130" s="191" t="str">
        <f t="shared" si="51"/>
        <v>-</v>
      </c>
      <c r="AI130" s="142" t="str">
        <f t="shared" si="52"/>
        <v>-</v>
      </c>
      <c r="AJ130" s="192" t="str">
        <f t="shared" si="53"/>
        <v>-</v>
      </c>
      <c r="AK130" s="82" t="str">
        <f>IF(AH130="-","-",AH130*NB_LQ_RA*'Regional data'!O70)</f>
        <v>-</v>
      </c>
      <c r="AL130" s="142" t="str">
        <f>IF(AI130="-","-",AI130*NB_MQ_RA*'Regional data'!P70)</f>
        <v>-</v>
      </c>
      <c r="AM130" s="134" t="str">
        <f>IF(AJ130="-","-",AJ130*NB_SQ_RA*'Regional data'!Q70)</f>
        <v>-</v>
      </c>
    </row>
    <row r="131" spans="2:39" x14ac:dyDescent="0.25">
      <c r="B131" s="80">
        <f>'Regional data'!B71</f>
        <v>0</v>
      </c>
      <c r="C131" s="85">
        <f>Coeff_wind_Erosion_CR*(365*(365-'Regional data'!V71)/235)*('Regional data'!W71/365*100/15)*1000</f>
        <v>0</v>
      </c>
      <c r="D131" s="142" t="str">
        <f>IF('Regional data'!F71&gt;0,'Regional data'!F71*Prod_CR*Size_dist_LQ_CR/(NB_LQ_CR*'Regional data'!C71),"-")</f>
        <v>-</v>
      </c>
      <c r="E131" s="142" t="str">
        <f>IF('Regional data'!G71&gt;0,'Regional data'!G71*Prod_CR*Size_dist_MQ_CR/(NB_MQ_CR*'Regional data'!D71),"-")</f>
        <v>-</v>
      </c>
      <c r="F131" s="142" t="str">
        <f>IF('Regional data'!H71&gt;0,'Regional data'!H71*Prod_CR*Size_dist_SQ_CR/(NB_SQ_CR*'Regional data'!E71),"-")</f>
        <v>-</v>
      </c>
      <c r="G131" s="195" t="str">
        <f t="shared" si="36"/>
        <v>-</v>
      </c>
      <c r="H131" s="196" t="str">
        <f t="shared" si="37"/>
        <v>-</v>
      </c>
      <c r="I131" s="198" t="str">
        <f t="shared" si="38"/>
        <v>-</v>
      </c>
      <c r="J131" s="191" t="str">
        <f t="shared" si="39"/>
        <v>-</v>
      </c>
      <c r="K131" s="142" t="str">
        <f t="shared" si="40"/>
        <v>-</v>
      </c>
      <c r="L131" s="192" t="str">
        <f t="shared" si="41"/>
        <v>-</v>
      </c>
      <c r="M131" s="142" t="str">
        <f>IF(J131="-","-",J131*NB_LQ_CR*'Regional data'!C71)</f>
        <v>-</v>
      </c>
      <c r="N131" s="142" t="str">
        <f>IF(K131="-","-",K131*NB_MQ_CR*'Regional data'!D71)</f>
        <v>-</v>
      </c>
      <c r="O131" s="142" t="str">
        <f>IF(L131="-","-",L131*NB_SQ_CR*'Regional data'!E71)</f>
        <v>-</v>
      </c>
      <c r="P131" s="141" t="str">
        <f>IF('Regional data'!L71&gt;0,'Regional data'!L71*Prod_CR*Size_dist_LQ_SG/(NB_LQ_SG*'Regional data'!I71),"-")</f>
        <v>-</v>
      </c>
      <c r="Q131" s="142" t="str">
        <f>IF('Regional data'!M71&gt;0,'Regional data'!M71*Prod_SG*Size_dist_MQ_SG/(NB_MQ_SG*'Regional data'!J71),"-")</f>
        <v>-</v>
      </c>
      <c r="R131" s="142" t="str">
        <f>IF('Regional data'!N71&gt;0,'Regional data'!N71*Prod_SG*Size_dist_SQ_SG/(NB_SQ_SG*'Regional data'!K71),"-")</f>
        <v>-</v>
      </c>
      <c r="S131" s="195" t="str">
        <f t="shared" si="42"/>
        <v>-</v>
      </c>
      <c r="T131" s="196" t="str">
        <f t="shared" si="43"/>
        <v>-</v>
      </c>
      <c r="U131" s="198" t="str">
        <f t="shared" si="44"/>
        <v>-</v>
      </c>
      <c r="V131" s="191" t="str">
        <f t="shared" si="45"/>
        <v>-</v>
      </c>
      <c r="W131" s="142" t="str">
        <f t="shared" si="46"/>
        <v>-</v>
      </c>
      <c r="X131" s="192" t="str">
        <f t="shared" si="47"/>
        <v>-</v>
      </c>
      <c r="Y131" s="191" t="str">
        <f>IF(V131="-","-",V131*NB_LQ_SG*'Regional data'!I71)</f>
        <v>-</v>
      </c>
      <c r="Z131" s="142" t="str">
        <f>IF(W131="-","-",W131*NB_MQ_SG*'Regional data'!J71)</f>
        <v>-</v>
      </c>
      <c r="AA131" s="192" t="str">
        <f>IF(X131="-","-",X131*NB_SQ_SG*'Regional data'!K71)</f>
        <v>-</v>
      </c>
      <c r="AB131" s="141" t="str">
        <f>IF('Regional data'!R71&gt;0,'Regional data'!R71*Prod_RA*Size_dist_LQ_RA/(NB_LQ_RA*'Regional data'!O71),"-")</f>
        <v>-</v>
      </c>
      <c r="AC131" s="142" t="str">
        <f>IF('Regional data'!S71&gt;0,'Regional data'!S71*Prod_RA*Size_dist_MQ_RA/(NB_MQ_RA*'Regional data'!P71),"-")</f>
        <v>-</v>
      </c>
      <c r="AD131" s="142" t="str">
        <f>IF('Regional data'!T71&gt;0,'Regional data'!T71*Prod_RA*Size_dist_SQ_RA/(NB_SQ_RA*'Regional data'!Q71),"-")</f>
        <v>-</v>
      </c>
      <c r="AE131" s="195" t="str">
        <f t="shared" si="48"/>
        <v>-</v>
      </c>
      <c r="AF131" s="196" t="str">
        <f t="shared" si="49"/>
        <v>-</v>
      </c>
      <c r="AG131" s="198" t="str">
        <f t="shared" si="50"/>
        <v>-</v>
      </c>
      <c r="AH131" s="191" t="str">
        <f t="shared" si="51"/>
        <v>-</v>
      </c>
      <c r="AI131" s="142" t="str">
        <f t="shared" si="52"/>
        <v>-</v>
      </c>
      <c r="AJ131" s="192" t="str">
        <f t="shared" si="53"/>
        <v>-</v>
      </c>
      <c r="AK131" s="82" t="str">
        <f>IF(AH131="-","-",AH131*NB_LQ_RA*'Regional data'!O71)</f>
        <v>-</v>
      </c>
      <c r="AL131" s="142" t="str">
        <f>IF(AI131="-","-",AI131*NB_MQ_RA*'Regional data'!P71)</f>
        <v>-</v>
      </c>
      <c r="AM131" s="134" t="str">
        <f>IF(AJ131="-","-",AJ131*NB_SQ_RA*'Regional data'!Q71)</f>
        <v>-</v>
      </c>
    </row>
    <row r="132" spans="2:39" x14ac:dyDescent="0.25">
      <c r="B132" s="80">
        <f>'Regional data'!B72</f>
        <v>0</v>
      </c>
      <c r="C132" s="85">
        <f>Coeff_wind_Erosion_CR*(365*(365-'Regional data'!V72)/235)*('Regional data'!W72/365*100/15)*1000</f>
        <v>0</v>
      </c>
      <c r="D132" s="142" t="str">
        <f>IF('Regional data'!F72&gt;0,'Regional data'!F72*Prod_CR*Size_dist_LQ_CR/(NB_LQ_CR*'Regional data'!C72),"-")</f>
        <v>-</v>
      </c>
      <c r="E132" s="142" t="str">
        <f>IF('Regional data'!G72&gt;0,'Regional data'!G72*Prod_CR*Size_dist_MQ_CR/(NB_MQ_CR*'Regional data'!D72),"-")</f>
        <v>-</v>
      </c>
      <c r="F132" s="142" t="str">
        <f>IF('Regional data'!H72&gt;0,'Regional data'!H72*Prod_CR*Size_dist_SQ_CR/(NB_SQ_CR*'Regional data'!E72),"-")</f>
        <v>-</v>
      </c>
      <c r="G132" s="195" t="str">
        <f t="shared" si="36"/>
        <v>-</v>
      </c>
      <c r="H132" s="196" t="str">
        <f t="shared" si="37"/>
        <v>-</v>
      </c>
      <c r="I132" s="198" t="str">
        <f t="shared" si="38"/>
        <v>-</v>
      </c>
      <c r="J132" s="191" t="str">
        <f t="shared" si="39"/>
        <v>-</v>
      </c>
      <c r="K132" s="142" t="str">
        <f t="shared" si="40"/>
        <v>-</v>
      </c>
      <c r="L132" s="192" t="str">
        <f t="shared" si="41"/>
        <v>-</v>
      </c>
      <c r="M132" s="142" t="str">
        <f>IF(J132="-","-",J132*NB_LQ_CR*'Regional data'!C72)</f>
        <v>-</v>
      </c>
      <c r="N132" s="142" t="str">
        <f>IF(K132="-","-",K132*NB_MQ_CR*'Regional data'!D72)</f>
        <v>-</v>
      </c>
      <c r="O132" s="142" t="str">
        <f>IF(L132="-","-",L132*NB_SQ_CR*'Regional data'!E72)</f>
        <v>-</v>
      </c>
      <c r="P132" s="141" t="str">
        <f>IF('Regional data'!L72&gt;0,'Regional data'!L72*Prod_CR*Size_dist_LQ_SG/(NB_LQ_SG*'Regional data'!I72),"-")</f>
        <v>-</v>
      </c>
      <c r="Q132" s="142" t="str">
        <f>IF('Regional data'!M72&gt;0,'Regional data'!M72*Prod_SG*Size_dist_MQ_SG/(NB_MQ_SG*'Regional data'!J72),"-")</f>
        <v>-</v>
      </c>
      <c r="R132" s="142" t="str">
        <f>IF('Regional data'!N72&gt;0,'Regional data'!N72*Prod_SG*Size_dist_SQ_SG/(NB_SQ_SG*'Regional data'!K72),"-")</f>
        <v>-</v>
      </c>
      <c r="S132" s="195" t="str">
        <f t="shared" si="42"/>
        <v>-</v>
      </c>
      <c r="T132" s="196" t="str">
        <f t="shared" si="43"/>
        <v>-</v>
      </c>
      <c r="U132" s="198" t="str">
        <f t="shared" si="44"/>
        <v>-</v>
      </c>
      <c r="V132" s="191" t="str">
        <f t="shared" si="45"/>
        <v>-</v>
      </c>
      <c r="W132" s="142" t="str">
        <f t="shared" si="46"/>
        <v>-</v>
      </c>
      <c r="X132" s="192" t="str">
        <f t="shared" si="47"/>
        <v>-</v>
      </c>
      <c r="Y132" s="191" t="str">
        <f>IF(V132="-","-",V132*NB_LQ_SG*'Regional data'!I72)</f>
        <v>-</v>
      </c>
      <c r="Z132" s="142" t="str">
        <f>IF(W132="-","-",W132*NB_MQ_SG*'Regional data'!J72)</f>
        <v>-</v>
      </c>
      <c r="AA132" s="192" t="str">
        <f>IF(X132="-","-",X132*NB_SQ_SG*'Regional data'!K72)</f>
        <v>-</v>
      </c>
      <c r="AB132" s="141" t="str">
        <f>IF('Regional data'!R72&gt;0,'Regional data'!R72*Prod_RA*Size_dist_LQ_RA/(NB_LQ_RA*'Regional data'!O72),"-")</f>
        <v>-</v>
      </c>
      <c r="AC132" s="142" t="str">
        <f>IF('Regional data'!S72&gt;0,'Regional data'!S72*Prod_RA*Size_dist_MQ_RA/(NB_MQ_RA*'Regional data'!P72),"-")</f>
        <v>-</v>
      </c>
      <c r="AD132" s="142" t="str">
        <f>IF('Regional data'!T72&gt;0,'Regional data'!T72*Prod_RA*Size_dist_SQ_RA/(NB_SQ_RA*'Regional data'!Q72),"-")</f>
        <v>-</v>
      </c>
      <c r="AE132" s="195" t="str">
        <f t="shared" si="48"/>
        <v>-</v>
      </c>
      <c r="AF132" s="196" t="str">
        <f t="shared" si="49"/>
        <v>-</v>
      </c>
      <c r="AG132" s="198" t="str">
        <f t="shared" si="50"/>
        <v>-</v>
      </c>
      <c r="AH132" s="191" t="str">
        <f t="shared" si="51"/>
        <v>-</v>
      </c>
      <c r="AI132" s="142" t="str">
        <f t="shared" si="52"/>
        <v>-</v>
      </c>
      <c r="AJ132" s="192" t="str">
        <f t="shared" si="53"/>
        <v>-</v>
      </c>
      <c r="AK132" s="82" t="str">
        <f>IF(AH132="-","-",AH132*NB_LQ_RA*'Regional data'!O72)</f>
        <v>-</v>
      </c>
      <c r="AL132" s="142" t="str">
        <f>IF(AI132="-","-",AI132*NB_MQ_RA*'Regional data'!P72)</f>
        <v>-</v>
      </c>
      <c r="AM132" s="134" t="str">
        <f>IF(AJ132="-","-",AJ132*NB_SQ_RA*'Regional data'!Q72)</f>
        <v>-</v>
      </c>
    </row>
    <row r="133" spans="2:39" x14ac:dyDescent="0.25">
      <c r="B133" s="80">
        <f>'Regional data'!B73</f>
        <v>0</v>
      </c>
      <c r="C133" s="85">
        <f>Coeff_wind_Erosion_CR*(365*(365-'Regional data'!V73)/235)*('Regional data'!W73/365*100/15)*1000</f>
        <v>0</v>
      </c>
      <c r="D133" s="142" t="str">
        <f>IF('Regional data'!F73&gt;0,'Regional data'!F73*Prod_CR*Size_dist_LQ_CR/(NB_LQ_CR*'Regional data'!C73),"-")</f>
        <v>-</v>
      </c>
      <c r="E133" s="142" t="str">
        <f>IF('Regional data'!G73&gt;0,'Regional data'!G73*Prod_CR*Size_dist_MQ_CR/(NB_MQ_CR*'Regional data'!D73),"-")</f>
        <v>-</v>
      </c>
      <c r="F133" s="142" t="str">
        <f>IF('Regional data'!H73&gt;0,'Regional data'!H73*Prod_CR*Size_dist_SQ_CR/(NB_SQ_CR*'Regional data'!E73),"-")</f>
        <v>-</v>
      </c>
      <c r="G133" s="195" t="str">
        <f t="shared" si="36"/>
        <v>-</v>
      </c>
      <c r="H133" s="196" t="str">
        <f t="shared" si="37"/>
        <v>-</v>
      </c>
      <c r="I133" s="198" t="str">
        <f t="shared" si="38"/>
        <v>-</v>
      </c>
      <c r="J133" s="191" t="str">
        <f t="shared" si="39"/>
        <v>-</v>
      </c>
      <c r="K133" s="142" t="str">
        <f t="shared" si="40"/>
        <v>-</v>
      </c>
      <c r="L133" s="192" t="str">
        <f t="shared" si="41"/>
        <v>-</v>
      </c>
      <c r="M133" s="142" t="str">
        <f>IF(J133="-","-",J133*NB_LQ_CR*'Regional data'!C73)</f>
        <v>-</v>
      </c>
      <c r="N133" s="142" t="str">
        <f>IF(K133="-","-",K133*NB_MQ_CR*'Regional data'!D73)</f>
        <v>-</v>
      </c>
      <c r="O133" s="142" t="str">
        <f>IF(L133="-","-",L133*NB_SQ_CR*'Regional data'!E73)</f>
        <v>-</v>
      </c>
      <c r="P133" s="141" t="str">
        <f>IF('Regional data'!L73&gt;0,'Regional data'!L73*Prod_CR*Size_dist_LQ_SG/(NB_LQ_SG*'Regional data'!I73),"-")</f>
        <v>-</v>
      </c>
      <c r="Q133" s="142" t="str">
        <f>IF('Regional data'!M73&gt;0,'Regional data'!M73*Prod_SG*Size_dist_MQ_SG/(NB_MQ_SG*'Regional data'!J73),"-")</f>
        <v>-</v>
      </c>
      <c r="R133" s="142" t="str">
        <f>IF('Regional data'!N73&gt;0,'Regional data'!N73*Prod_SG*Size_dist_SQ_SG/(NB_SQ_SG*'Regional data'!K73),"-")</f>
        <v>-</v>
      </c>
      <c r="S133" s="195" t="str">
        <f t="shared" si="42"/>
        <v>-</v>
      </c>
      <c r="T133" s="196" t="str">
        <f t="shared" si="43"/>
        <v>-</v>
      </c>
      <c r="U133" s="198" t="str">
        <f t="shared" si="44"/>
        <v>-</v>
      </c>
      <c r="V133" s="191" t="str">
        <f t="shared" si="45"/>
        <v>-</v>
      </c>
      <c r="W133" s="142" t="str">
        <f t="shared" si="46"/>
        <v>-</v>
      </c>
      <c r="X133" s="192" t="str">
        <f t="shared" si="47"/>
        <v>-</v>
      </c>
      <c r="Y133" s="191" t="str">
        <f>IF(V133="-","-",V133*NB_LQ_SG*'Regional data'!I73)</f>
        <v>-</v>
      </c>
      <c r="Z133" s="142" t="str">
        <f>IF(W133="-","-",W133*NB_MQ_SG*'Regional data'!J73)</f>
        <v>-</v>
      </c>
      <c r="AA133" s="192" t="str">
        <f>IF(X133="-","-",X133*NB_SQ_SG*'Regional data'!K73)</f>
        <v>-</v>
      </c>
      <c r="AB133" s="141" t="str">
        <f>IF('Regional data'!R73&gt;0,'Regional data'!R73*Prod_RA*Size_dist_LQ_RA/(NB_LQ_RA*'Regional data'!O73),"-")</f>
        <v>-</v>
      </c>
      <c r="AC133" s="142" t="str">
        <f>IF('Regional data'!S73&gt;0,'Regional data'!S73*Prod_RA*Size_dist_MQ_RA/(NB_MQ_RA*'Regional data'!P73),"-")</f>
        <v>-</v>
      </c>
      <c r="AD133" s="142" t="str">
        <f>IF('Regional data'!T73&gt;0,'Regional data'!T73*Prod_RA*Size_dist_SQ_RA/(NB_SQ_RA*'Regional data'!Q73),"-")</f>
        <v>-</v>
      </c>
      <c r="AE133" s="195" t="str">
        <f t="shared" si="48"/>
        <v>-</v>
      </c>
      <c r="AF133" s="196" t="str">
        <f t="shared" si="49"/>
        <v>-</v>
      </c>
      <c r="AG133" s="198" t="str">
        <f t="shared" si="50"/>
        <v>-</v>
      </c>
      <c r="AH133" s="191" t="str">
        <f t="shared" si="51"/>
        <v>-</v>
      </c>
      <c r="AI133" s="142" t="str">
        <f t="shared" si="52"/>
        <v>-</v>
      </c>
      <c r="AJ133" s="192" t="str">
        <f t="shared" si="53"/>
        <v>-</v>
      </c>
      <c r="AK133" s="82" t="str">
        <f>IF(AH133="-","-",AH133*NB_LQ_RA*'Regional data'!O73)</f>
        <v>-</v>
      </c>
      <c r="AL133" s="142" t="str">
        <f>IF(AI133="-","-",AI133*NB_MQ_RA*'Regional data'!P73)</f>
        <v>-</v>
      </c>
      <c r="AM133" s="134" t="str">
        <f>IF(AJ133="-","-",AJ133*NB_SQ_RA*'Regional data'!Q73)</f>
        <v>-</v>
      </c>
    </row>
    <row r="134" spans="2:39" x14ac:dyDescent="0.25">
      <c r="B134" s="80">
        <f>'Regional data'!B74</f>
        <v>0</v>
      </c>
      <c r="C134" s="85">
        <f>Coeff_wind_Erosion_CR*(365*(365-'Regional data'!V74)/235)*('Regional data'!W74/365*100/15)*1000</f>
        <v>0</v>
      </c>
      <c r="D134" s="142" t="str">
        <f>IF('Regional data'!F74&gt;0,'Regional data'!F74*Prod_CR*Size_dist_LQ_CR/(NB_LQ_CR*'Regional data'!C74),"-")</f>
        <v>-</v>
      </c>
      <c r="E134" s="142" t="str">
        <f>IF('Regional data'!G74&gt;0,'Regional data'!G74*Prod_CR*Size_dist_MQ_CR/(NB_MQ_CR*'Regional data'!D74),"-")</f>
        <v>-</v>
      </c>
      <c r="F134" s="142" t="str">
        <f>IF('Regional data'!H74&gt;0,'Regional data'!H74*Prod_CR*Size_dist_SQ_CR/(NB_SQ_CR*'Regional data'!E74),"-")</f>
        <v>-</v>
      </c>
      <c r="G134" s="195" t="str">
        <f t="shared" si="36"/>
        <v>-</v>
      </c>
      <c r="H134" s="196" t="str">
        <f t="shared" si="37"/>
        <v>-</v>
      </c>
      <c r="I134" s="198" t="str">
        <f t="shared" si="38"/>
        <v>-</v>
      </c>
      <c r="J134" s="191" t="str">
        <f t="shared" si="39"/>
        <v>-</v>
      </c>
      <c r="K134" s="142" t="str">
        <f t="shared" si="40"/>
        <v>-</v>
      </c>
      <c r="L134" s="192" t="str">
        <f t="shared" si="41"/>
        <v>-</v>
      </c>
      <c r="M134" s="142" t="str">
        <f>IF(J134="-","-",J134*NB_LQ_CR*'Regional data'!C74)</f>
        <v>-</v>
      </c>
      <c r="N134" s="142" t="str">
        <f>IF(K134="-","-",K134*NB_MQ_CR*'Regional data'!D74)</f>
        <v>-</v>
      </c>
      <c r="O134" s="142" t="str">
        <f>IF(L134="-","-",L134*NB_SQ_CR*'Regional data'!E74)</f>
        <v>-</v>
      </c>
      <c r="P134" s="141" t="str">
        <f>IF('Regional data'!L74&gt;0,'Regional data'!L74*Prod_CR*Size_dist_LQ_SG/(NB_LQ_SG*'Regional data'!I74),"-")</f>
        <v>-</v>
      </c>
      <c r="Q134" s="142" t="str">
        <f>IF('Regional data'!M74&gt;0,'Regional data'!M74*Prod_SG*Size_dist_MQ_SG/(NB_MQ_SG*'Regional data'!J74),"-")</f>
        <v>-</v>
      </c>
      <c r="R134" s="142" t="str">
        <f>IF('Regional data'!N74&gt;0,'Regional data'!N74*Prod_SG*Size_dist_SQ_SG/(NB_SQ_SG*'Regional data'!K74),"-")</f>
        <v>-</v>
      </c>
      <c r="S134" s="195" t="str">
        <f t="shared" si="42"/>
        <v>-</v>
      </c>
      <c r="T134" s="196" t="str">
        <f t="shared" si="43"/>
        <v>-</v>
      </c>
      <c r="U134" s="198" t="str">
        <f t="shared" si="44"/>
        <v>-</v>
      </c>
      <c r="V134" s="191" t="str">
        <f t="shared" si="45"/>
        <v>-</v>
      </c>
      <c r="W134" s="142" t="str">
        <f t="shared" si="46"/>
        <v>-</v>
      </c>
      <c r="X134" s="192" t="str">
        <f t="shared" si="47"/>
        <v>-</v>
      </c>
      <c r="Y134" s="191" t="str">
        <f>IF(V134="-","-",V134*NB_LQ_SG*'Regional data'!I74)</f>
        <v>-</v>
      </c>
      <c r="Z134" s="142" t="str">
        <f>IF(W134="-","-",W134*NB_MQ_SG*'Regional data'!J74)</f>
        <v>-</v>
      </c>
      <c r="AA134" s="192" t="str">
        <f>IF(X134="-","-",X134*NB_SQ_SG*'Regional data'!K74)</f>
        <v>-</v>
      </c>
      <c r="AB134" s="141" t="str">
        <f>IF('Regional data'!R74&gt;0,'Regional data'!R74*Prod_RA*Size_dist_LQ_RA/(NB_LQ_RA*'Regional data'!O74),"-")</f>
        <v>-</v>
      </c>
      <c r="AC134" s="142" t="str">
        <f>IF('Regional data'!S74&gt;0,'Regional data'!S74*Prod_RA*Size_dist_MQ_RA/(NB_MQ_RA*'Regional data'!P74),"-")</f>
        <v>-</v>
      </c>
      <c r="AD134" s="142" t="str">
        <f>IF('Regional data'!T74&gt;0,'Regional data'!T74*Prod_RA*Size_dist_SQ_RA/(NB_SQ_RA*'Regional data'!Q74),"-")</f>
        <v>-</v>
      </c>
      <c r="AE134" s="195" t="str">
        <f t="shared" si="48"/>
        <v>-</v>
      </c>
      <c r="AF134" s="196" t="str">
        <f t="shared" si="49"/>
        <v>-</v>
      </c>
      <c r="AG134" s="198" t="str">
        <f t="shared" si="50"/>
        <v>-</v>
      </c>
      <c r="AH134" s="191" t="str">
        <f t="shared" si="51"/>
        <v>-</v>
      </c>
      <c r="AI134" s="142" t="str">
        <f t="shared" si="52"/>
        <v>-</v>
      </c>
      <c r="AJ134" s="192" t="str">
        <f t="shared" si="53"/>
        <v>-</v>
      </c>
      <c r="AK134" s="82" t="str">
        <f>IF(AH134="-","-",AH134*NB_LQ_RA*'Regional data'!O74)</f>
        <v>-</v>
      </c>
      <c r="AL134" s="142" t="str">
        <f>IF(AI134="-","-",AI134*NB_MQ_RA*'Regional data'!P74)</f>
        <v>-</v>
      </c>
      <c r="AM134" s="134" t="str">
        <f>IF(AJ134="-","-",AJ134*NB_SQ_RA*'Regional data'!Q74)</f>
        <v>-</v>
      </c>
    </row>
    <row r="135" spans="2:39" x14ac:dyDescent="0.25">
      <c r="B135" s="80">
        <f>'Regional data'!B75</f>
        <v>0</v>
      </c>
      <c r="C135" s="85">
        <f>Coeff_wind_Erosion_CR*(365*(365-'Regional data'!V75)/235)*('Regional data'!W75/365*100/15)*1000</f>
        <v>0</v>
      </c>
      <c r="D135" s="142" t="str">
        <f>IF('Regional data'!F75&gt;0,'Regional data'!F75*Prod_CR*Size_dist_LQ_CR/(NB_LQ_CR*'Regional data'!C75),"-")</f>
        <v>-</v>
      </c>
      <c r="E135" s="142" t="str">
        <f>IF('Regional data'!G75&gt;0,'Regional data'!G75*Prod_CR*Size_dist_MQ_CR/(NB_MQ_CR*'Regional data'!D75),"-")</f>
        <v>-</v>
      </c>
      <c r="F135" s="142" t="str">
        <f>IF('Regional data'!H75&gt;0,'Regional data'!H75*Prod_CR*Size_dist_SQ_CR/(NB_SQ_CR*'Regional data'!E75),"-")</f>
        <v>-</v>
      </c>
      <c r="G135" s="195" t="str">
        <f t="shared" si="36"/>
        <v>-</v>
      </c>
      <c r="H135" s="196" t="str">
        <f t="shared" si="37"/>
        <v>-</v>
      </c>
      <c r="I135" s="198" t="str">
        <f t="shared" si="38"/>
        <v>-</v>
      </c>
      <c r="J135" s="191" t="str">
        <f t="shared" si="39"/>
        <v>-</v>
      </c>
      <c r="K135" s="142" t="str">
        <f t="shared" si="40"/>
        <v>-</v>
      </c>
      <c r="L135" s="192" t="str">
        <f t="shared" si="41"/>
        <v>-</v>
      </c>
      <c r="M135" s="142" t="str">
        <f>IF(J135="-","-",J135*NB_LQ_CR*'Regional data'!C75)</f>
        <v>-</v>
      </c>
      <c r="N135" s="142" t="str">
        <f>IF(K135="-","-",K135*NB_MQ_CR*'Regional data'!D75)</f>
        <v>-</v>
      </c>
      <c r="O135" s="142" t="str">
        <f>IF(L135="-","-",L135*NB_SQ_CR*'Regional data'!E75)</f>
        <v>-</v>
      </c>
      <c r="P135" s="141" t="str">
        <f>IF('Regional data'!L75&gt;0,'Regional data'!L75*Prod_CR*Size_dist_LQ_SG/(NB_LQ_SG*'Regional data'!I75),"-")</f>
        <v>-</v>
      </c>
      <c r="Q135" s="142" t="str">
        <f>IF('Regional data'!M75&gt;0,'Regional data'!M75*Prod_SG*Size_dist_MQ_SG/(NB_MQ_SG*'Regional data'!J75),"-")</f>
        <v>-</v>
      </c>
      <c r="R135" s="142" t="str">
        <f>IF('Regional data'!N75&gt;0,'Regional data'!N75*Prod_SG*Size_dist_SQ_SG/(NB_SQ_SG*'Regional data'!K75),"-")</f>
        <v>-</v>
      </c>
      <c r="S135" s="195" t="str">
        <f t="shared" si="42"/>
        <v>-</v>
      </c>
      <c r="T135" s="196" t="str">
        <f t="shared" si="43"/>
        <v>-</v>
      </c>
      <c r="U135" s="198" t="str">
        <f t="shared" si="44"/>
        <v>-</v>
      </c>
      <c r="V135" s="191" t="str">
        <f t="shared" si="45"/>
        <v>-</v>
      </c>
      <c r="W135" s="142" t="str">
        <f t="shared" si="46"/>
        <v>-</v>
      </c>
      <c r="X135" s="192" t="str">
        <f t="shared" si="47"/>
        <v>-</v>
      </c>
      <c r="Y135" s="191" t="str">
        <f>IF(V135="-","-",V135*NB_LQ_SG*'Regional data'!I75)</f>
        <v>-</v>
      </c>
      <c r="Z135" s="142" t="str">
        <f>IF(W135="-","-",W135*NB_MQ_SG*'Regional data'!J75)</f>
        <v>-</v>
      </c>
      <c r="AA135" s="192" t="str">
        <f>IF(X135="-","-",X135*NB_SQ_SG*'Regional data'!K75)</f>
        <v>-</v>
      </c>
      <c r="AB135" s="141" t="str">
        <f>IF('Regional data'!R75&gt;0,'Regional data'!R75*Prod_RA*Size_dist_LQ_RA/(NB_LQ_RA*'Regional data'!O75),"-")</f>
        <v>-</v>
      </c>
      <c r="AC135" s="142" t="str">
        <f>IF('Regional data'!S75&gt;0,'Regional data'!S75*Prod_RA*Size_dist_MQ_RA/(NB_MQ_RA*'Regional data'!P75),"-")</f>
        <v>-</v>
      </c>
      <c r="AD135" s="142" t="str">
        <f>IF('Regional data'!T75&gt;0,'Regional data'!T75*Prod_RA*Size_dist_SQ_RA/(NB_SQ_RA*'Regional data'!Q75),"-")</f>
        <v>-</v>
      </c>
      <c r="AE135" s="195" t="str">
        <f t="shared" si="48"/>
        <v>-</v>
      </c>
      <c r="AF135" s="196" t="str">
        <f t="shared" si="49"/>
        <v>-</v>
      </c>
      <c r="AG135" s="198" t="str">
        <f t="shared" si="50"/>
        <v>-</v>
      </c>
      <c r="AH135" s="191" t="str">
        <f t="shared" si="51"/>
        <v>-</v>
      </c>
      <c r="AI135" s="142" t="str">
        <f t="shared" si="52"/>
        <v>-</v>
      </c>
      <c r="AJ135" s="192" t="str">
        <f t="shared" si="53"/>
        <v>-</v>
      </c>
      <c r="AK135" s="82" t="str">
        <f>IF(AH135="-","-",AH135*NB_LQ_RA*'Regional data'!O75)</f>
        <v>-</v>
      </c>
      <c r="AL135" s="142" t="str">
        <f>IF(AI135="-","-",AI135*NB_MQ_RA*'Regional data'!P75)</f>
        <v>-</v>
      </c>
      <c r="AM135" s="134" t="str">
        <f>IF(AJ135="-","-",AJ135*NB_SQ_RA*'Regional data'!Q75)</f>
        <v>-</v>
      </c>
    </row>
    <row r="136" spans="2:39" x14ac:dyDescent="0.25">
      <c r="B136" s="80">
        <f>'Regional data'!B76</f>
        <v>0</v>
      </c>
      <c r="C136" s="85">
        <f>Coeff_wind_Erosion_CR*(365*(365-'Regional data'!V76)/235)*('Regional data'!W76/365*100/15)*1000</f>
        <v>0</v>
      </c>
      <c r="D136" s="142" t="str">
        <f>IF('Regional data'!F76&gt;0,'Regional data'!F76*Prod_CR*Size_dist_LQ_CR/(NB_LQ_CR*'Regional data'!C76),"-")</f>
        <v>-</v>
      </c>
      <c r="E136" s="142" t="str">
        <f>IF('Regional data'!G76&gt;0,'Regional data'!G76*Prod_CR*Size_dist_MQ_CR/(NB_MQ_CR*'Regional data'!D76),"-")</f>
        <v>-</v>
      </c>
      <c r="F136" s="142" t="str">
        <f>IF('Regional data'!H76&gt;0,'Regional data'!H76*Prod_CR*Size_dist_SQ_CR/(NB_SQ_CR*'Regional data'!E76),"-")</f>
        <v>-</v>
      </c>
      <c r="G136" s="195" t="str">
        <f t="shared" si="36"/>
        <v>-</v>
      </c>
      <c r="H136" s="196" t="str">
        <f t="shared" si="37"/>
        <v>-</v>
      </c>
      <c r="I136" s="198" t="str">
        <f t="shared" si="38"/>
        <v>-</v>
      </c>
      <c r="J136" s="191" t="str">
        <f t="shared" si="39"/>
        <v>-</v>
      </c>
      <c r="K136" s="142" t="str">
        <f t="shared" si="40"/>
        <v>-</v>
      </c>
      <c r="L136" s="192" t="str">
        <f t="shared" si="41"/>
        <v>-</v>
      </c>
      <c r="M136" s="142" t="str">
        <f>IF(J136="-","-",J136*NB_LQ_CR*'Regional data'!C76)</f>
        <v>-</v>
      </c>
      <c r="N136" s="142" t="str">
        <f>IF(K136="-","-",K136*NB_MQ_CR*'Regional data'!D76)</f>
        <v>-</v>
      </c>
      <c r="O136" s="142" t="str">
        <f>IF(L136="-","-",L136*NB_SQ_CR*'Regional data'!E76)</f>
        <v>-</v>
      </c>
      <c r="P136" s="141" t="str">
        <f>IF('Regional data'!L76&gt;0,'Regional data'!L76*Prod_CR*Size_dist_LQ_SG/(NB_LQ_SG*'Regional data'!I76),"-")</f>
        <v>-</v>
      </c>
      <c r="Q136" s="142" t="str">
        <f>IF('Regional data'!M76&gt;0,'Regional data'!M76*Prod_SG*Size_dist_MQ_SG/(NB_MQ_SG*'Regional data'!J76),"-")</f>
        <v>-</v>
      </c>
      <c r="R136" s="142" t="str">
        <f>IF('Regional data'!N76&gt;0,'Regional data'!N76*Prod_SG*Size_dist_SQ_SG/(NB_SQ_SG*'Regional data'!K76),"-")</f>
        <v>-</v>
      </c>
      <c r="S136" s="195" t="str">
        <f t="shared" si="42"/>
        <v>-</v>
      </c>
      <c r="T136" s="196" t="str">
        <f t="shared" si="43"/>
        <v>-</v>
      </c>
      <c r="U136" s="198" t="str">
        <f t="shared" si="44"/>
        <v>-</v>
      </c>
      <c r="V136" s="191" t="str">
        <f t="shared" si="45"/>
        <v>-</v>
      </c>
      <c r="W136" s="142" t="str">
        <f t="shared" si="46"/>
        <v>-</v>
      </c>
      <c r="X136" s="192" t="str">
        <f t="shared" si="47"/>
        <v>-</v>
      </c>
      <c r="Y136" s="191" t="str">
        <f>IF(V136="-","-",V136*NB_LQ_SG*'Regional data'!I76)</f>
        <v>-</v>
      </c>
      <c r="Z136" s="142" t="str">
        <f>IF(W136="-","-",W136*NB_MQ_SG*'Regional data'!J76)</f>
        <v>-</v>
      </c>
      <c r="AA136" s="192" t="str">
        <f>IF(X136="-","-",X136*NB_SQ_SG*'Regional data'!K76)</f>
        <v>-</v>
      </c>
      <c r="AB136" s="141" t="str">
        <f>IF('Regional data'!R76&gt;0,'Regional data'!R76*Prod_RA*Size_dist_LQ_RA/(NB_LQ_RA*'Regional data'!O76),"-")</f>
        <v>-</v>
      </c>
      <c r="AC136" s="142" t="str">
        <f>IF('Regional data'!S76&gt;0,'Regional data'!S76*Prod_RA*Size_dist_MQ_RA/(NB_MQ_RA*'Regional data'!P76),"-")</f>
        <v>-</v>
      </c>
      <c r="AD136" s="142" t="str">
        <f>IF('Regional data'!T76&gt;0,'Regional data'!T76*Prod_RA*Size_dist_SQ_RA/(NB_SQ_RA*'Regional data'!Q76),"-")</f>
        <v>-</v>
      </c>
      <c r="AE136" s="195" t="str">
        <f t="shared" si="48"/>
        <v>-</v>
      </c>
      <c r="AF136" s="196" t="str">
        <f t="shared" si="49"/>
        <v>-</v>
      </c>
      <c r="AG136" s="198" t="str">
        <f t="shared" si="50"/>
        <v>-</v>
      </c>
      <c r="AH136" s="191" t="str">
        <f t="shared" si="51"/>
        <v>-</v>
      </c>
      <c r="AI136" s="142" t="str">
        <f t="shared" si="52"/>
        <v>-</v>
      </c>
      <c r="AJ136" s="192" t="str">
        <f t="shared" si="53"/>
        <v>-</v>
      </c>
      <c r="AK136" s="82" t="str">
        <f>IF(AH136="-","-",AH136*NB_LQ_RA*'Regional data'!O76)</f>
        <v>-</v>
      </c>
      <c r="AL136" s="142" t="str">
        <f>IF(AI136="-","-",AI136*NB_MQ_RA*'Regional data'!P76)</f>
        <v>-</v>
      </c>
      <c r="AM136" s="134" t="str">
        <f>IF(AJ136="-","-",AJ136*NB_SQ_RA*'Regional data'!Q76)</f>
        <v>-</v>
      </c>
    </row>
    <row r="137" spans="2:39" x14ac:dyDescent="0.25">
      <c r="B137" s="80">
        <f>'Regional data'!B77</f>
        <v>0</v>
      </c>
      <c r="C137" s="85">
        <f>Coeff_wind_Erosion_CR*(365*(365-'Regional data'!V77)/235)*('Regional data'!W77/365*100/15)*1000</f>
        <v>0</v>
      </c>
      <c r="D137" s="142" t="str">
        <f>IF('Regional data'!F77&gt;0,'Regional data'!F77*Prod_CR*Size_dist_LQ_CR/(NB_LQ_CR*'Regional data'!C77),"-")</f>
        <v>-</v>
      </c>
      <c r="E137" s="142" t="str">
        <f>IF('Regional data'!G77&gt;0,'Regional data'!G77*Prod_CR*Size_dist_MQ_CR/(NB_MQ_CR*'Regional data'!D77),"-")</f>
        <v>-</v>
      </c>
      <c r="F137" s="142" t="str">
        <f>IF('Regional data'!H77&gt;0,'Regional data'!H77*Prod_CR*Size_dist_SQ_CR/(NB_SQ_CR*'Regional data'!E77),"-")</f>
        <v>-</v>
      </c>
      <c r="G137" s="195" t="str">
        <f t="shared" si="36"/>
        <v>-</v>
      </c>
      <c r="H137" s="196" t="str">
        <f t="shared" si="37"/>
        <v>-</v>
      </c>
      <c r="I137" s="198" t="str">
        <f t="shared" si="38"/>
        <v>-</v>
      </c>
      <c r="J137" s="191" t="str">
        <f t="shared" si="39"/>
        <v>-</v>
      </c>
      <c r="K137" s="142" t="str">
        <f t="shared" si="40"/>
        <v>-</v>
      </c>
      <c r="L137" s="192" t="str">
        <f t="shared" si="41"/>
        <v>-</v>
      </c>
      <c r="M137" s="142" t="str">
        <f>IF(J137="-","-",J137*NB_LQ_CR*'Regional data'!C77)</f>
        <v>-</v>
      </c>
      <c r="N137" s="142" t="str">
        <f>IF(K137="-","-",K137*NB_MQ_CR*'Regional data'!D77)</f>
        <v>-</v>
      </c>
      <c r="O137" s="142" t="str">
        <f>IF(L137="-","-",L137*NB_SQ_CR*'Regional data'!E77)</f>
        <v>-</v>
      </c>
      <c r="P137" s="141" t="str">
        <f>IF('Regional data'!L77&gt;0,'Regional data'!L77*Prod_CR*Size_dist_LQ_SG/(NB_LQ_SG*'Regional data'!I77),"-")</f>
        <v>-</v>
      </c>
      <c r="Q137" s="142" t="str">
        <f>IF('Regional data'!M77&gt;0,'Regional data'!M77*Prod_SG*Size_dist_MQ_SG/(NB_MQ_SG*'Regional data'!J77),"-")</f>
        <v>-</v>
      </c>
      <c r="R137" s="142" t="str">
        <f>IF('Regional data'!N77&gt;0,'Regional data'!N77*Prod_SG*Size_dist_SQ_SG/(NB_SQ_SG*'Regional data'!K77),"-")</f>
        <v>-</v>
      </c>
      <c r="S137" s="195" t="str">
        <f t="shared" si="42"/>
        <v>-</v>
      </c>
      <c r="T137" s="196" t="str">
        <f t="shared" si="43"/>
        <v>-</v>
      </c>
      <c r="U137" s="198" t="str">
        <f t="shared" si="44"/>
        <v>-</v>
      </c>
      <c r="V137" s="191" t="str">
        <f t="shared" si="45"/>
        <v>-</v>
      </c>
      <c r="W137" s="142" t="str">
        <f t="shared" si="46"/>
        <v>-</v>
      </c>
      <c r="X137" s="192" t="str">
        <f t="shared" si="47"/>
        <v>-</v>
      </c>
      <c r="Y137" s="191" t="str">
        <f>IF(V137="-","-",V137*NB_LQ_SG*'Regional data'!I77)</f>
        <v>-</v>
      </c>
      <c r="Z137" s="142" t="str">
        <f>IF(W137="-","-",W137*NB_MQ_SG*'Regional data'!J77)</f>
        <v>-</v>
      </c>
      <c r="AA137" s="192" t="str">
        <f>IF(X137="-","-",X137*NB_SQ_SG*'Regional data'!K77)</f>
        <v>-</v>
      </c>
      <c r="AB137" s="141" t="str">
        <f>IF('Regional data'!R77&gt;0,'Regional data'!R77*Prod_RA*Size_dist_LQ_RA/(NB_LQ_RA*'Regional data'!O77),"-")</f>
        <v>-</v>
      </c>
      <c r="AC137" s="142" t="str">
        <f>IF('Regional data'!S77&gt;0,'Regional data'!S77*Prod_RA*Size_dist_MQ_RA/(NB_MQ_RA*'Regional data'!P77),"-")</f>
        <v>-</v>
      </c>
      <c r="AD137" s="142" t="str">
        <f>IF('Regional data'!T77&gt;0,'Regional data'!T77*Prod_RA*Size_dist_SQ_RA/(NB_SQ_RA*'Regional data'!Q77),"-")</f>
        <v>-</v>
      </c>
      <c r="AE137" s="195" t="str">
        <f t="shared" si="48"/>
        <v>-</v>
      </c>
      <c r="AF137" s="196" t="str">
        <f t="shared" si="49"/>
        <v>-</v>
      </c>
      <c r="AG137" s="198" t="str">
        <f t="shared" si="50"/>
        <v>-</v>
      </c>
      <c r="AH137" s="191" t="str">
        <f t="shared" si="51"/>
        <v>-</v>
      </c>
      <c r="AI137" s="142" t="str">
        <f t="shared" si="52"/>
        <v>-</v>
      </c>
      <c r="AJ137" s="192" t="str">
        <f t="shared" si="53"/>
        <v>-</v>
      </c>
      <c r="AK137" s="82" t="str">
        <f>IF(AH137="-","-",AH137*NB_LQ_RA*'Regional data'!O77)</f>
        <v>-</v>
      </c>
      <c r="AL137" s="142" t="str">
        <f>IF(AI137="-","-",AI137*NB_MQ_RA*'Regional data'!P77)</f>
        <v>-</v>
      </c>
      <c r="AM137" s="134" t="str">
        <f>IF(AJ137="-","-",AJ137*NB_SQ_RA*'Regional data'!Q77)</f>
        <v>-</v>
      </c>
    </row>
    <row r="138" spans="2:39" x14ac:dyDescent="0.25">
      <c r="B138" s="80">
        <f>'Regional data'!B78</f>
        <v>0</v>
      </c>
      <c r="C138" s="85">
        <f>Coeff_wind_Erosion_CR*(365*(365-'Regional data'!V78)/235)*('Regional data'!W78/365*100/15)*1000</f>
        <v>0</v>
      </c>
      <c r="D138" s="142" t="str">
        <f>IF('Regional data'!F78&gt;0,'Regional data'!F78*Prod_CR*Size_dist_LQ_CR/(NB_LQ_CR*'Regional data'!C78),"-")</f>
        <v>-</v>
      </c>
      <c r="E138" s="142" t="str">
        <f>IF('Regional data'!G78&gt;0,'Regional data'!G78*Prod_CR*Size_dist_MQ_CR/(NB_MQ_CR*'Regional data'!D78),"-")</f>
        <v>-</v>
      </c>
      <c r="F138" s="142" t="str">
        <f>IF('Regional data'!H78&gt;0,'Regional data'!H78*Prod_CR*Size_dist_SQ_CR/(NB_SQ_CR*'Regional data'!E78),"-")</f>
        <v>-</v>
      </c>
      <c r="G138" s="195" t="str">
        <f t="shared" si="36"/>
        <v>-</v>
      </c>
      <c r="H138" s="196" t="str">
        <f t="shared" si="37"/>
        <v>-</v>
      </c>
      <c r="I138" s="198" t="str">
        <f t="shared" si="38"/>
        <v>-</v>
      </c>
      <c r="J138" s="191" t="str">
        <f t="shared" si="39"/>
        <v>-</v>
      </c>
      <c r="K138" s="142" t="str">
        <f t="shared" si="40"/>
        <v>-</v>
      </c>
      <c r="L138" s="192" t="str">
        <f t="shared" si="41"/>
        <v>-</v>
      </c>
      <c r="M138" s="142" t="str">
        <f>IF(J138="-","-",J138*NB_LQ_CR*'Regional data'!C78)</f>
        <v>-</v>
      </c>
      <c r="N138" s="142" t="str">
        <f>IF(K138="-","-",K138*NB_MQ_CR*'Regional data'!D78)</f>
        <v>-</v>
      </c>
      <c r="O138" s="142" t="str">
        <f>IF(L138="-","-",L138*NB_SQ_CR*'Regional data'!E78)</f>
        <v>-</v>
      </c>
      <c r="P138" s="141" t="str">
        <f>IF('Regional data'!L78&gt;0,'Regional data'!L78*Prod_CR*Size_dist_LQ_SG/(NB_LQ_SG*'Regional data'!I78),"-")</f>
        <v>-</v>
      </c>
      <c r="Q138" s="142" t="str">
        <f>IF('Regional data'!M78&gt;0,'Regional data'!M78*Prod_SG*Size_dist_MQ_SG/(NB_MQ_SG*'Regional data'!J78),"-")</f>
        <v>-</v>
      </c>
      <c r="R138" s="142" t="str">
        <f>IF('Regional data'!N78&gt;0,'Regional data'!N78*Prod_SG*Size_dist_SQ_SG/(NB_SQ_SG*'Regional data'!K78),"-")</f>
        <v>-</v>
      </c>
      <c r="S138" s="195" t="str">
        <f t="shared" si="42"/>
        <v>-</v>
      </c>
      <c r="T138" s="196" t="str">
        <f t="shared" si="43"/>
        <v>-</v>
      </c>
      <c r="U138" s="198" t="str">
        <f t="shared" si="44"/>
        <v>-</v>
      </c>
      <c r="V138" s="191" t="str">
        <f t="shared" si="45"/>
        <v>-</v>
      </c>
      <c r="W138" s="142" t="str">
        <f t="shared" si="46"/>
        <v>-</v>
      </c>
      <c r="X138" s="192" t="str">
        <f t="shared" si="47"/>
        <v>-</v>
      </c>
      <c r="Y138" s="191" t="str">
        <f>IF(V138="-","-",V138*NB_LQ_SG*'Regional data'!I78)</f>
        <v>-</v>
      </c>
      <c r="Z138" s="142" t="str">
        <f>IF(W138="-","-",W138*NB_MQ_SG*'Regional data'!J78)</f>
        <v>-</v>
      </c>
      <c r="AA138" s="192" t="str">
        <f>IF(X138="-","-",X138*NB_SQ_SG*'Regional data'!K78)</f>
        <v>-</v>
      </c>
      <c r="AB138" s="141" t="str">
        <f>IF('Regional data'!R78&gt;0,'Regional data'!R78*Prod_RA*Size_dist_LQ_RA/(NB_LQ_RA*'Regional data'!O78),"-")</f>
        <v>-</v>
      </c>
      <c r="AC138" s="142" t="str">
        <f>IF('Regional data'!S78&gt;0,'Regional data'!S78*Prod_RA*Size_dist_MQ_RA/(NB_MQ_RA*'Regional data'!P78),"-")</f>
        <v>-</v>
      </c>
      <c r="AD138" s="142" t="str">
        <f>IF('Regional data'!T78&gt;0,'Regional data'!T78*Prod_RA*Size_dist_SQ_RA/(NB_SQ_RA*'Regional data'!Q78),"-")</f>
        <v>-</v>
      </c>
      <c r="AE138" s="195" t="str">
        <f t="shared" si="48"/>
        <v>-</v>
      </c>
      <c r="AF138" s="196" t="str">
        <f t="shared" si="49"/>
        <v>-</v>
      </c>
      <c r="AG138" s="198" t="str">
        <f t="shared" si="50"/>
        <v>-</v>
      </c>
      <c r="AH138" s="191" t="str">
        <f t="shared" si="51"/>
        <v>-</v>
      </c>
      <c r="AI138" s="142" t="str">
        <f t="shared" si="52"/>
        <v>-</v>
      </c>
      <c r="AJ138" s="192" t="str">
        <f t="shared" si="53"/>
        <v>-</v>
      </c>
      <c r="AK138" s="82" t="str">
        <f>IF(AH138="-","-",AH138*NB_LQ_RA*'Regional data'!O78)</f>
        <v>-</v>
      </c>
      <c r="AL138" s="142" t="str">
        <f>IF(AI138="-","-",AI138*NB_MQ_RA*'Regional data'!P78)</f>
        <v>-</v>
      </c>
      <c r="AM138" s="134" t="str">
        <f>IF(AJ138="-","-",AJ138*NB_SQ_RA*'Regional data'!Q78)</f>
        <v>-</v>
      </c>
    </row>
    <row r="139" spans="2:39" x14ac:dyDescent="0.25">
      <c r="B139" s="80">
        <f>'Regional data'!B79</f>
        <v>0</v>
      </c>
      <c r="C139" s="85">
        <f>Coeff_wind_Erosion_CR*(365*(365-'Regional data'!V79)/235)*('Regional data'!W79/365*100/15)*1000</f>
        <v>0</v>
      </c>
      <c r="D139" s="142" t="str">
        <f>IF('Regional data'!F79&gt;0,'Regional data'!F79*Prod_CR*Size_dist_LQ_CR/(NB_LQ_CR*'Regional data'!C79),"-")</f>
        <v>-</v>
      </c>
      <c r="E139" s="142" t="str">
        <f>IF('Regional data'!G79&gt;0,'Regional data'!G79*Prod_CR*Size_dist_MQ_CR/(NB_MQ_CR*'Regional data'!D79),"-")</f>
        <v>-</v>
      </c>
      <c r="F139" s="142" t="str">
        <f>IF('Regional data'!H79&gt;0,'Regional data'!H79*Prod_CR*Size_dist_SQ_CR/(NB_SQ_CR*'Regional data'!E79),"-")</f>
        <v>-</v>
      </c>
      <c r="G139" s="195" t="str">
        <f t="shared" si="36"/>
        <v>-</v>
      </c>
      <c r="H139" s="196" t="str">
        <f t="shared" si="37"/>
        <v>-</v>
      </c>
      <c r="I139" s="198" t="str">
        <f t="shared" si="38"/>
        <v>-</v>
      </c>
      <c r="J139" s="191" t="str">
        <f t="shared" si="39"/>
        <v>-</v>
      </c>
      <c r="K139" s="142" t="str">
        <f t="shared" si="40"/>
        <v>-</v>
      </c>
      <c r="L139" s="192" t="str">
        <f t="shared" si="41"/>
        <v>-</v>
      </c>
      <c r="M139" s="142" t="str">
        <f>IF(J139="-","-",J139*NB_LQ_CR*'Regional data'!C79)</f>
        <v>-</v>
      </c>
      <c r="N139" s="142" t="str">
        <f>IF(K139="-","-",K139*NB_MQ_CR*'Regional data'!D79)</f>
        <v>-</v>
      </c>
      <c r="O139" s="142" t="str">
        <f>IF(L139="-","-",L139*NB_SQ_CR*'Regional data'!E79)</f>
        <v>-</v>
      </c>
      <c r="P139" s="141" t="str">
        <f>IF('Regional data'!L79&gt;0,'Regional data'!L79*Prod_CR*Size_dist_LQ_SG/(NB_LQ_SG*'Regional data'!I79),"-")</f>
        <v>-</v>
      </c>
      <c r="Q139" s="142" t="str">
        <f>IF('Regional data'!M79&gt;0,'Regional data'!M79*Prod_SG*Size_dist_MQ_SG/(NB_MQ_SG*'Regional data'!J79),"-")</f>
        <v>-</v>
      </c>
      <c r="R139" s="142" t="str">
        <f>IF('Regional data'!N79&gt;0,'Regional data'!N79*Prod_SG*Size_dist_SQ_SG/(NB_SQ_SG*'Regional data'!K79),"-")</f>
        <v>-</v>
      </c>
      <c r="S139" s="195" t="str">
        <f t="shared" si="42"/>
        <v>-</v>
      </c>
      <c r="T139" s="196" t="str">
        <f t="shared" si="43"/>
        <v>-</v>
      </c>
      <c r="U139" s="198" t="str">
        <f t="shared" si="44"/>
        <v>-</v>
      </c>
      <c r="V139" s="191" t="str">
        <f t="shared" si="45"/>
        <v>-</v>
      </c>
      <c r="W139" s="142" t="str">
        <f t="shared" si="46"/>
        <v>-</v>
      </c>
      <c r="X139" s="192" t="str">
        <f t="shared" si="47"/>
        <v>-</v>
      </c>
      <c r="Y139" s="191" t="str">
        <f>IF(V139="-","-",V139*NB_LQ_SG*'Regional data'!I79)</f>
        <v>-</v>
      </c>
      <c r="Z139" s="142" t="str">
        <f>IF(W139="-","-",W139*NB_MQ_SG*'Regional data'!J79)</f>
        <v>-</v>
      </c>
      <c r="AA139" s="192" t="str">
        <f>IF(X139="-","-",X139*NB_SQ_SG*'Regional data'!K79)</f>
        <v>-</v>
      </c>
      <c r="AB139" s="141" t="str">
        <f>IF('Regional data'!R79&gt;0,'Regional data'!R79*Prod_RA*Size_dist_LQ_RA/(NB_LQ_RA*'Regional data'!O79),"-")</f>
        <v>-</v>
      </c>
      <c r="AC139" s="142" t="str">
        <f>IF('Regional data'!S79&gt;0,'Regional data'!S79*Prod_RA*Size_dist_MQ_RA/(NB_MQ_RA*'Regional data'!P79),"-")</f>
        <v>-</v>
      </c>
      <c r="AD139" s="142" t="str">
        <f>IF('Regional data'!T79&gt;0,'Regional data'!T79*Prod_RA*Size_dist_SQ_RA/(NB_SQ_RA*'Regional data'!Q79),"-")</f>
        <v>-</v>
      </c>
      <c r="AE139" s="195" t="str">
        <f t="shared" si="48"/>
        <v>-</v>
      </c>
      <c r="AF139" s="196" t="str">
        <f t="shared" si="49"/>
        <v>-</v>
      </c>
      <c r="AG139" s="198" t="str">
        <f t="shared" si="50"/>
        <v>-</v>
      </c>
      <c r="AH139" s="191" t="str">
        <f t="shared" si="51"/>
        <v>-</v>
      </c>
      <c r="AI139" s="142" t="str">
        <f t="shared" si="52"/>
        <v>-</v>
      </c>
      <c r="AJ139" s="192" t="str">
        <f t="shared" si="53"/>
        <v>-</v>
      </c>
      <c r="AK139" s="82" t="str">
        <f>IF(AH139="-","-",AH139*NB_LQ_RA*'Regional data'!O79)</f>
        <v>-</v>
      </c>
      <c r="AL139" s="142" t="str">
        <f>IF(AI139="-","-",AI139*NB_MQ_RA*'Regional data'!P79)</f>
        <v>-</v>
      </c>
      <c r="AM139" s="134" t="str">
        <f>IF(AJ139="-","-",AJ139*NB_SQ_RA*'Regional data'!Q79)</f>
        <v>-</v>
      </c>
    </row>
    <row r="140" spans="2:39" x14ac:dyDescent="0.25">
      <c r="B140" s="80">
        <f>'Regional data'!B80</f>
        <v>0</v>
      </c>
      <c r="C140" s="85">
        <f>Coeff_wind_Erosion_CR*(365*(365-'Regional data'!V80)/235)*('Regional data'!W80/365*100/15)*1000</f>
        <v>0</v>
      </c>
      <c r="D140" s="142" t="str">
        <f>IF('Regional data'!F80&gt;0,'Regional data'!F80*Prod_CR*Size_dist_LQ_CR/(NB_LQ_CR*'Regional data'!C80),"-")</f>
        <v>-</v>
      </c>
      <c r="E140" s="142" t="str">
        <f>IF('Regional data'!G80&gt;0,'Regional data'!G80*Prod_CR*Size_dist_MQ_CR/(NB_MQ_CR*'Regional data'!D80),"-")</f>
        <v>-</v>
      </c>
      <c r="F140" s="142" t="str">
        <f>IF('Regional data'!H80&gt;0,'Regional data'!H80*Prod_CR*Size_dist_SQ_CR/(NB_SQ_CR*'Regional data'!E80),"-")</f>
        <v>-</v>
      </c>
      <c r="G140" s="195" t="str">
        <f t="shared" si="36"/>
        <v>-</v>
      </c>
      <c r="H140" s="196" t="str">
        <f t="shared" si="37"/>
        <v>-</v>
      </c>
      <c r="I140" s="198" t="str">
        <f t="shared" si="38"/>
        <v>-</v>
      </c>
      <c r="J140" s="191" t="str">
        <f t="shared" si="39"/>
        <v>-</v>
      </c>
      <c r="K140" s="142" t="str">
        <f t="shared" si="40"/>
        <v>-</v>
      </c>
      <c r="L140" s="192" t="str">
        <f t="shared" si="41"/>
        <v>-</v>
      </c>
      <c r="M140" s="142" t="str">
        <f>IF(J140="-","-",J140*NB_LQ_CR*'Regional data'!C80)</f>
        <v>-</v>
      </c>
      <c r="N140" s="142" t="str">
        <f>IF(K140="-","-",K140*NB_MQ_CR*'Regional data'!D80)</f>
        <v>-</v>
      </c>
      <c r="O140" s="142" t="str">
        <f>IF(L140="-","-",L140*NB_SQ_CR*'Regional data'!E80)</f>
        <v>-</v>
      </c>
      <c r="P140" s="141" t="str">
        <f>IF('Regional data'!L80&gt;0,'Regional data'!L80*Prod_CR*Size_dist_LQ_SG/(NB_LQ_SG*'Regional data'!I80),"-")</f>
        <v>-</v>
      </c>
      <c r="Q140" s="142" t="str">
        <f>IF('Regional data'!M80&gt;0,'Regional data'!M80*Prod_SG*Size_dist_MQ_SG/(NB_MQ_SG*'Regional data'!J80),"-")</f>
        <v>-</v>
      </c>
      <c r="R140" s="142" t="str">
        <f>IF('Regional data'!N80&gt;0,'Regional data'!N80*Prod_SG*Size_dist_SQ_SG/(NB_SQ_SG*'Regional data'!K80),"-")</f>
        <v>-</v>
      </c>
      <c r="S140" s="195" t="str">
        <f t="shared" si="42"/>
        <v>-</v>
      </c>
      <c r="T140" s="196" t="str">
        <f t="shared" si="43"/>
        <v>-</v>
      </c>
      <c r="U140" s="198" t="str">
        <f t="shared" si="44"/>
        <v>-</v>
      </c>
      <c r="V140" s="191" t="str">
        <f t="shared" si="45"/>
        <v>-</v>
      </c>
      <c r="W140" s="142" t="str">
        <f t="shared" si="46"/>
        <v>-</v>
      </c>
      <c r="X140" s="192" t="str">
        <f t="shared" si="47"/>
        <v>-</v>
      </c>
      <c r="Y140" s="191" t="str">
        <f>IF(V140="-","-",V140*NB_LQ_SG*'Regional data'!I80)</f>
        <v>-</v>
      </c>
      <c r="Z140" s="142" t="str">
        <f>IF(W140="-","-",W140*NB_MQ_SG*'Regional data'!J80)</f>
        <v>-</v>
      </c>
      <c r="AA140" s="192" t="str">
        <f>IF(X140="-","-",X140*NB_SQ_SG*'Regional data'!K80)</f>
        <v>-</v>
      </c>
      <c r="AB140" s="141" t="str">
        <f>IF('Regional data'!R80&gt;0,'Regional data'!R80*Prod_RA*Size_dist_LQ_RA/(NB_LQ_RA*'Regional data'!O80),"-")</f>
        <v>-</v>
      </c>
      <c r="AC140" s="142" t="str">
        <f>IF('Regional data'!S80&gt;0,'Regional data'!S80*Prod_RA*Size_dist_MQ_RA/(NB_MQ_RA*'Regional data'!P80),"-")</f>
        <v>-</v>
      </c>
      <c r="AD140" s="142" t="str">
        <f>IF('Regional data'!T80&gt;0,'Regional data'!T80*Prod_RA*Size_dist_SQ_RA/(NB_SQ_RA*'Regional data'!Q80),"-")</f>
        <v>-</v>
      </c>
      <c r="AE140" s="195" t="str">
        <f t="shared" si="48"/>
        <v>-</v>
      </c>
      <c r="AF140" s="196" t="str">
        <f t="shared" si="49"/>
        <v>-</v>
      </c>
      <c r="AG140" s="198" t="str">
        <f t="shared" si="50"/>
        <v>-</v>
      </c>
      <c r="AH140" s="191" t="str">
        <f t="shared" si="51"/>
        <v>-</v>
      </c>
      <c r="AI140" s="142" t="str">
        <f t="shared" si="52"/>
        <v>-</v>
      </c>
      <c r="AJ140" s="192" t="str">
        <f t="shared" si="53"/>
        <v>-</v>
      </c>
      <c r="AK140" s="82" t="str">
        <f>IF(AH140="-","-",AH140*NB_LQ_RA*'Regional data'!O80)</f>
        <v>-</v>
      </c>
      <c r="AL140" s="142" t="str">
        <f>IF(AI140="-","-",AI140*NB_MQ_RA*'Regional data'!P80)</f>
        <v>-</v>
      </c>
      <c r="AM140" s="134" t="str">
        <f>IF(AJ140="-","-",AJ140*NB_SQ_RA*'Regional data'!Q80)</f>
        <v>-</v>
      </c>
    </row>
    <row r="141" spans="2:39" x14ac:dyDescent="0.25">
      <c r="B141" s="80">
        <f>'Regional data'!B81</f>
        <v>0</v>
      </c>
      <c r="C141" s="85">
        <f>Coeff_wind_Erosion_CR*(365*(365-'Regional data'!V81)/235)*('Regional data'!W81/365*100/15)*1000</f>
        <v>0</v>
      </c>
      <c r="D141" s="142" t="str">
        <f>IF('Regional data'!F81&gt;0,'Regional data'!F81*Prod_CR*Size_dist_LQ_CR/(NB_LQ_CR*'Regional data'!C81),"-")</f>
        <v>-</v>
      </c>
      <c r="E141" s="142" t="str">
        <f>IF('Regional data'!G81&gt;0,'Regional data'!G81*Prod_CR*Size_dist_MQ_CR/(NB_MQ_CR*'Regional data'!D81),"-")</f>
        <v>-</v>
      </c>
      <c r="F141" s="142" t="str">
        <f>IF('Regional data'!H81&gt;0,'Regional data'!H81*Prod_CR*Size_dist_SQ_CR/(NB_SQ_CR*'Regional data'!E81),"-")</f>
        <v>-</v>
      </c>
      <c r="G141" s="195" t="str">
        <f t="shared" si="36"/>
        <v>-</v>
      </c>
      <c r="H141" s="196" t="str">
        <f t="shared" si="37"/>
        <v>-</v>
      </c>
      <c r="I141" s="198" t="str">
        <f t="shared" si="38"/>
        <v>-</v>
      </c>
      <c r="J141" s="191" t="str">
        <f t="shared" si="39"/>
        <v>-</v>
      </c>
      <c r="K141" s="142" t="str">
        <f t="shared" si="40"/>
        <v>-</v>
      </c>
      <c r="L141" s="192" t="str">
        <f t="shared" si="41"/>
        <v>-</v>
      </c>
      <c r="M141" s="142" t="str">
        <f>IF(J141="-","-",J141*NB_LQ_CR*'Regional data'!C81)</f>
        <v>-</v>
      </c>
      <c r="N141" s="142" t="str">
        <f>IF(K141="-","-",K141*NB_MQ_CR*'Regional data'!D81)</f>
        <v>-</v>
      </c>
      <c r="O141" s="142" t="str">
        <f>IF(L141="-","-",L141*NB_SQ_CR*'Regional data'!E81)</f>
        <v>-</v>
      </c>
      <c r="P141" s="141" t="str">
        <f>IF('Regional data'!L81&gt;0,'Regional data'!L81*Prod_CR*Size_dist_LQ_SG/(NB_LQ_SG*'Regional data'!I81),"-")</f>
        <v>-</v>
      </c>
      <c r="Q141" s="142" t="str">
        <f>IF('Regional data'!M81&gt;0,'Regional data'!M81*Prod_SG*Size_dist_MQ_SG/(NB_MQ_SG*'Regional data'!J81),"-")</f>
        <v>-</v>
      </c>
      <c r="R141" s="142" t="str">
        <f>IF('Regional data'!N81&gt;0,'Regional data'!N81*Prod_SG*Size_dist_SQ_SG/(NB_SQ_SG*'Regional data'!K81),"-")</f>
        <v>-</v>
      </c>
      <c r="S141" s="195" t="str">
        <f t="shared" si="42"/>
        <v>-</v>
      </c>
      <c r="T141" s="196" t="str">
        <f t="shared" si="43"/>
        <v>-</v>
      </c>
      <c r="U141" s="198" t="str">
        <f t="shared" si="44"/>
        <v>-</v>
      </c>
      <c r="V141" s="191" t="str">
        <f t="shared" si="45"/>
        <v>-</v>
      </c>
      <c r="W141" s="142" t="str">
        <f t="shared" si="46"/>
        <v>-</v>
      </c>
      <c r="X141" s="192" t="str">
        <f t="shared" si="47"/>
        <v>-</v>
      </c>
      <c r="Y141" s="191" t="str">
        <f>IF(V141="-","-",V141*NB_LQ_SG*'Regional data'!I81)</f>
        <v>-</v>
      </c>
      <c r="Z141" s="142" t="str">
        <f>IF(W141="-","-",W141*NB_MQ_SG*'Regional data'!J81)</f>
        <v>-</v>
      </c>
      <c r="AA141" s="192" t="str">
        <f>IF(X141="-","-",X141*NB_SQ_SG*'Regional data'!K81)</f>
        <v>-</v>
      </c>
      <c r="AB141" s="141" t="str">
        <f>IF('Regional data'!R81&gt;0,'Regional data'!R81*Prod_RA*Size_dist_LQ_RA/(NB_LQ_RA*'Regional data'!O81),"-")</f>
        <v>-</v>
      </c>
      <c r="AC141" s="142" t="str">
        <f>IF('Regional data'!S81&gt;0,'Regional data'!S81*Prod_RA*Size_dist_MQ_RA/(NB_MQ_RA*'Regional data'!P81),"-")</f>
        <v>-</v>
      </c>
      <c r="AD141" s="142" t="str">
        <f>IF('Regional data'!T81&gt;0,'Regional data'!T81*Prod_RA*Size_dist_SQ_RA/(NB_SQ_RA*'Regional data'!Q81),"-")</f>
        <v>-</v>
      </c>
      <c r="AE141" s="195" t="str">
        <f t="shared" si="48"/>
        <v>-</v>
      </c>
      <c r="AF141" s="196" t="str">
        <f t="shared" si="49"/>
        <v>-</v>
      </c>
      <c r="AG141" s="198" t="str">
        <f t="shared" si="50"/>
        <v>-</v>
      </c>
      <c r="AH141" s="191" t="str">
        <f t="shared" si="51"/>
        <v>-</v>
      </c>
      <c r="AI141" s="142" t="str">
        <f t="shared" si="52"/>
        <v>-</v>
      </c>
      <c r="AJ141" s="192" t="str">
        <f t="shared" si="53"/>
        <v>-</v>
      </c>
      <c r="AK141" s="82" t="str">
        <f>IF(AH141="-","-",AH141*NB_LQ_RA*'Regional data'!O81)</f>
        <v>-</v>
      </c>
      <c r="AL141" s="142" t="str">
        <f>IF(AI141="-","-",AI141*NB_MQ_RA*'Regional data'!P81)</f>
        <v>-</v>
      </c>
      <c r="AM141" s="134" t="str">
        <f>IF(AJ141="-","-",AJ141*NB_SQ_RA*'Regional data'!Q81)</f>
        <v>-</v>
      </c>
    </row>
    <row r="142" spans="2:39" x14ac:dyDescent="0.25">
      <c r="B142" s="80">
        <f>'Regional data'!B82</f>
        <v>0</v>
      </c>
      <c r="C142" s="85">
        <f>Coeff_wind_Erosion_CR*(365*(365-'Regional data'!V82)/235)*('Regional data'!W82/365*100/15)*1000</f>
        <v>0</v>
      </c>
      <c r="D142" s="142" t="str">
        <f>IF('Regional data'!F82&gt;0,'Regional data'!F82*Prod_CR*Size_dist_LQ_CR/(NB_LQ_CR*'Regional data'!C82),"-")</f>
        <v>-</v>
      </c>
      <c r="E142" s="142" t="str">
        <f>IF('Regional data'!G82&gt;0,'Regional data'!G82*Prod_CR*Size_dist_MQ_CR/(NB_MQ_CR*'Regional data'!D82),"-")</f>
        <v>-</v>
      </c>
      <c r="F142" s="142" t="str">
        <f>IF('Regional data'!H82&gt;0,'Regional data'!H82*Prod_CR*Size_dist_SQ_CR/(NB_SQ_CR*'Regional data'!E82),"-")</f>
        <v>-</v>
      </c>
      <c r="G142" s="195" t="str">
        <f t="shared" si="36"/>
        <v>-</v>
      </c>
      <c r="H142" s="196" t="str">
        <f t="shared" si="37"/>
        <v>-</v>
      </c>
      <c r="I142" s="198" t="str">
        <f t="shared" si="38"/>
        <v>-</v>
      </c>
      <c r="J142" s="191" t="str">
        <f t="shared" si="39"/>
        <v>-</v>
      </c>
      <c r="K142" s="142" t="str">
        <f t="shared" si="40"/>
        <v>-</v>
      </c>
      <c r="L142" s="192" t="str">
        <f t="shared" si="41"/>
        <v>-</v>
      </c>
      <c r="M142" s="142" t="str">
        <f>IF(J142="-","-",J142*NB_LQ_CR*'Regional data'!C82)</f>
        <v>-</v>
      </c>
      <c r="N142" s="142" t="str">
        <f>IF(K142="-","-",K142*NB_MQ_CR*'Regional data'!D82)</f>
        <v>-</v>
      </c>
      <c r="O142" s="142" t="str">
        <f>IF(L142="-","-",L142*NB_SQ_CR*'Regional data'!E82)</f>
        <v>-</v>
      </c>
      <c r="P142" s="141" t="str">
        <f>IF('Regional data'!L82&gt;0,'Regional data'!L82*Prod_CR*Size_dist_LQ_SG/(NB_LQ_SG*'Regional data'!I82),"-")</f>
        <v>-</v>
      </c>
      <c r="Q142" s="142" t="str">
        <f>IF('Regional data'!M82&gt;0,'Regional data'!M82*Prod_SG*Size_dist_MQ_SG/(NB_MQ_SG*'Regional data'!J82),"-")</f>
        <v>-</v>
      </c>
      <c r="R142" s="142" t="str">
        <f>IF('Regional data'!N82&gt;0,'Regional data'!N82*Prod_SG*Size_dist_SQ_SG/(NB_SQ_SG*'Regional data'!K82),"-")</f>
        <v>-</v>
      </c>
      <c r="S142" s="195" t="str">
        <f t="shared" si="42"/>
        <v>-</v>
      </c>
      <c r="T142" s="196" t="str">
        <f t="shared" si="43"/>
        <v>-</v>
      </c>
      <c r="U142" s="198" t="str">
        <f t="shared" si="44"/>
        <v>-</v>
      </c>
      <c r="V142" s="191" t="str">
        <f t="shared" si="45"/>
        <v>-</v>
      </c>
      <c r="W142" s="142" t="str">
        <f t="shared" si="46"/>
        <v>-</v>
      </c>
      <c r="X142" s="192" t="str">
        <f t="shared" si="47"/>
        <v>-</v>
      </c>
      <c r="Y142" s="191" t="str">
        <f>IF(V142="-","-",V142*NB_LQ_SG*'Regional data'!I82)</f>
        <v>-</v>
      </c>
      <c r="Z142" s="142" t="str">
        <f>IF(W142="-","-",W142*NB_MQ_SG*'Regional data'!J82)</f>
        <v>-</v>
      </c>
      <c r="AA142" s="192" t="str">
        <f>IF(X142="-","-",X142*NB_SQ_SG*'Regional data'!K82)</f>
        <v>-</v>
      </c>
      <c r="AB142" s="141" t="str">
        <f>IF('Regional data'!R82&gt;0,'Regional data'!R82*Prod_RA*Size_dist_LQ_RA/(NB_LQ_RA*'Regional data'!O82),"-")</f>
        <v>-</v>
      </c>
      <c r="AC142" s="142" t="str">
        <f>IF('Regional data'!S82&gt;0,'Regional data'!S82*Prod_RA*Size_dist_MQ_RA/(NB_MQ_RA*'Regional data'!P82),"-")</f>
        <v>-</v>
      </c>
      <c r="AD142" s="142" t="str">
        <f>IF('Regional data'!T82&gt;0,'Regional data'!T82*Prod_RA*Size_dist_SQ_RA/(NB_SQ_RA*'Regional data'!Q82),"-")</f>
        <v>-</v>
      </c>
      <c r="AE142" s="195" t="str">
        <f t="shared" si="48"/>
        <v>-</v>
      </c>
      <c r="AF142" s="196" t="str">
        <f t="shared" si="49"/>
        <v>-</v>
      </c>
      <c r="AG142" s="198" t="str">
        <f t="shared" si="50"/>
        <v>-</v>
      </c>
      <c r="AH142" s="191" t="str">
        <f t="shared" si="51"/>
        <v>-</v>
      </c>
      <c r="AI142" s="142" t="str">
        <f t="shared" si="52"/>
        <v>-</v>
      </c>
      <c r="AJ142" s="192" t="str">
        <f t="shared" si="53"/>
        <v>-</v>
      </c>
      <c r="AK142" s="82" t="str">
        <f>IF(AH142="-","-",AH142*NB_LQ_RA*'Regional data'!O82)</f>
        <v>-</v>
      </c>
      <c r="AL142" s="142" t="str">
        <f>IF(AI142="-","-",AI142*NB_MQ_RA*'Regional data'!P82)</f>
        <v>-</v>
      </c>
      <c r="AM142" s="134" t="str">
        <f>IF(AJ142="-","-",AJ142*NB_SQ_RA*'Regional data'!Q82)</f>
        <v>-</v>
      </c>
    </row>
    <row r="143" spans="2:39" x14ac:dyDescent="0.25">
      <c r="B143" s="80">
        <f>'Regional data'!B83</f>
        <v>0</v>
      </c>
      <c r="C143" s="85">
        <f>Coeff_wind_Erosion_CR*(365*(365-'Regional data'!V83)/235)*('Regional data'!W83/365*100/15)*1000</f>
        <v>0</v>
      </c>
      <c r="D143" s="142" t="str">
        <f>IF('Regional data'!F83&gt;0,'Regional data'!F83*Prod_CR*Size_dist_LQ_CR/(NB_LQ_CR*'Regional data'!C83),"-")</f>
        <v>-</v>
      </c>
      <c r="E143" s="142" t="str">
        <f>IF('Regional data'!G83&gt;0,'Regional data'!G83*Prod_CR*Size_dist_MQ_CR/(NB_MQ_CR*'Regional data'!D83),"-")</f>
        <v>-</v>
      </c>
      <c r="F143" s="142" t="str">
        <f>IF('Regional data'!H83&gt;0,'Regional data'!H83*Prod_CR*Size_dist_SQ_CR/(NB_SQ_CR*'Regional data'!E83),"-")</f>
        <v>-</v>
      </c>
      <c r="G143" s="195" t="str">
        <f t="shared" si="36"/>
        <v>-</v>
      </c>
      <c r="H143" s="196" t="str">
        <f t="shared" si="37"/>
        <v>-</v>
      </c>
      <c r="I143" s="198" t="str">
        <f t="shared" si="38"/>
        <v>-</v>
      </c>
      <c r="J143" s="191" t="str">
        <f t="shared" si="39"/>
        <v>-</v>
      </c>
      <c r="K143" s="142" t="str">
        <f t="shared" si="40"/>
        <v>-</v>
      </c>
      <c r="L143" s="192" t="str">
        <f t="shared" si="41"/>
        <v>-</v>
      </c>
      <c r="M143" s="142" t="str">
        <f>IF(J143="-","-",J143*NB_LQ_CR*'Regional data'!C83)</f>
        <v>-</v>
      </c>
      <c r="N143" s="142" t="str">
        <f>IF(K143="-","-",K143*NB_MQ_CR*'Regional data'!D83)</f>
        <v>-</v>
      </c>
      <c r="O143" s="142" t="str">
        <f>IF(L143="-","-",L143*NB_SQ_CR*'Regional data'!E83)</f>
        <v>-</v>
      </c>
      <c r="P143" s="141" t="str">
        <f>IF('Regional data'!L83&gt;0,'Regional data'!L83*Prod_CR*Size_dist_LQ_SG/(NB_LQ_SG*'Regional data'!I83),"-")</f>
        <v>-</v>
      </c>
      <c r="Q143" s="142" t="str">
        <f>IF('Regional data'!M83&gt;0,'Regional data'!M83*Prod_SG*Size_dist_MQ_SG/(NB_MQ_SG*'Regional data'!J83),"-")</f>
        <v>-</v>
      </c>
      <c r="R143" s="142" t="str">
        <f>IF('Regional data'!N83&gt;0,'Regional data'!N83*Prod_SG*Size_dist_SQ_SG/(NB_SQ_SG*'Regional data'!K83),"-")</f>
        <v>-</v>
      </c>
      <c r="S143" s="195" t="str">
        <f t="shared" si="42"/>
        <v>-</v>
      </c>
      <c r="T143" s="196" t="str">
        <f t="shared" si="43"/>
        <v>-</v>
      </c>
      <c r="U143" s="198" t="str">
        <f t="shared" si="44"/>
        <v>-</v>
      </c>
      <c r="V143" s="191" t="str">
        <f t="shared" si="45"/>
        <v>-</v>
      </c>
      <c r="W143" s="142" t="str">
        <f t="shared" si="46"/>
        <v>-</v>
      </c>
      <c r="X143" s="192" t="str">
        <f t="shared" si="47"/>
        <v>-</v>
      </c>
      <c r="Y143" s="191" t="str">
        <f>IF(V143="-","-",V143*NB_LQ_SG*'Regional data'!I83)</f>
        <v>-</v>
      </c>
      <c r="Z143" s="142" t="str">
        <f>IF(W143="-","-",W143*NB_MQ_SG*'Regional data'!J83)</f>
        <v>-</v>
      </c>
      <c r="AA143" s="192" t="str">
        <f>IF(X143="-","-",X143*NB_SQ_SG*'Regional data'!K83)</f>
        <v>-</v>
      </c>
      <c r="AB143" s="141" t="str">
        <f>IF('Regional data'!R83&gt;0,'Regional data'!R83*Prod_RA*Size_dist_LQ_RA/(NB_LQ_RA*'Regional data'!O83),"-")</f>
        <v>-</v>
      </c>
      <c r="AC143" s="142" t="str">
        <f>IF('Regional data'!S83&gt;0,'Regional data'!S83*Prod_RA*Size_dist_MQ_RA/(NB_MQ_RA*'Regional data'!P83),"-")</f>
        <v>-</v>
      </c>
      <c r="AD143" s="142" t="str">
        <f>IF('Regional data'!T83&gt;0,'Regional data'!T83*Prod_RA*Size_dist_SQ_RA/(NB_SQ_RA*'Regional data'!Q83),"-")</f>
        <v>-</v>
      </c>
      <c r="AE143" s="195" t="str">
        <f t="shared" si="48"/>
        <v>-</v>
      </c>
      <c r="AF143" s="196" t="str">
        <f t="shared" si="49"/>
        <v>-</v>
      </c>
      <c r="AG143" s="198" t="str">
        <f t="shared" si="50"/>
        <v>-</v>
      </c>
      <c r="AH143" s="191" t="str">
        <f t="shared" si="51"/>
        <v>-</v>
      </c>
      <c r="AI143" s="142" t="str">
        <f t="shared" si="52"/>
        <v>-</v>
      </c>
      <c r="AJ143" s="192" t="str">
        <f t="shared" si="53"/>
        <v>-</v>
      </c>
      <c r="AK143" s="82" t="str">
        <f>IF(AH143="-","-",AH143*NB_LQ_RA*'Regional data'!O83)</f>
        <v>-</v>
      </c>
      <c r="AL143" s="142" t="str">
        <f>IF(AI143="-","-",AI143*NB_MQ_RA*'Regional data'!P83)</f>
        <v>-</v>
      </c>
      <c r="AM143" s="134" t="str">
        <f>IF(AJ143="-","-",AJ143*NB_SQ_RA*'Regional data'!Q83)</f>
        <v>-</v>
      </c>
    </row>
    <row r="144" spans="2:39" x14ac:dyDescent="0.25">
      <c r="B144" s="80">
        <f>'Regional data'!B84</f>
        <v>0</v>
      </c>
      <c r="C144" s="85">
        <f>Coeff_wind_Erosion_CR*(365*(365-'Regional data'!V84)/235)*('Regional data'!W84/365*100/15)*1000</f>
        <v>0</v>
      </c>
      <c r="D144" s="142" t="str">
        <f>IF('Regional data'!F84&gt;0,'Regional data'!F84*Prod_CR*Size_dist_LQ_CR/(NB_LQ_CR*'Regional data'!C84),"-")</f>
        <v>-</v>
      </c>
      <c r="E144" s="142" t="str">
        <f>IF('Regional data'!G84&gt;0,'Regional data'!G84*Prod_CR*Size_dist_MQ_CR/(NB_MQ_CR*'Regional data'!D84),"-")</f>
        <v>-</v>
      </c>
      <c r="F144" s="142" t="str">
        <f>IF('Regional data'!H84&gt;0,'Regional data'!H84*Prod_CR*Size_dist_SQ_CR/(NB_SQ_CR*'Regional data'!E84),"-")</f>
        <v>-</v>
      </c>
      <c r="G144" s="195" t="str">
        <f t="shared" si="36"/>
        <v>-</v>
      </c>
      <c r="H144" s="196" t="str">
        <f t="shared" si="37"/>
        <v>-</v>
      </c>
      <c r="I144" s="198" t="str">
        <f t="shared" si="38"/>
        <v>-</v>
      </c>
      <c r="J144" s="191" t="str">
        <f t="shared" si="39"/>
        <v>-</v>
      </c>
      <c r="K144" s="142" t="str">
        <f t="shared" si="40"/>
        <v>-</v>
      </c>
      <c r="L144" s="192" t="str">
        <f t="shared" si="41"/>
        <v>-</v>
      </c>
      <c r="M144" s="142" t="str">
        <f>IF(J144="-","-",J144*NB_LQ_CR*'Regional data'!C84)</f>
        <v>-</v>
      </c>
      <c r="N144" s="142" t="str">
        <f>IF(K144="-","-",K144*NB_MQ_CR*'Regional data'!D84)</f>
        <v>-</v>
      </c>
      <c r="O144" s="142" t="str">
        <f>IF(L144="-","-",L144*NB_SQ_CR*'Regional data'!E84)</f>
        <v>-</v>
      </c>
      <c r="P144" s="141" t="str">
        <f>IF('Regional data'!L84&gt;0,'Regional data'!L84*Prod_CR*Size_dist_LQ_SG/(NB_LQ_SG*'Regional data'!I84),"-")</f>
        <v>-</v>
      </c>
      <c r="Q144" s="142" t="str">
        <f>IF('Regional data'!M84&gt;0,'Regional data'!M84*Prod_SG*Size_dist_MQ_SG/(NB_MQ_SG*'Regional data'!J84),"-")</f>
        <v>-</v>
      </c>
      <c r="R144" s="142" t="str">
        <f>IF('Regional data'!N84&gt;0,'Regional data'!N84*Prod_SG*Size_dist_SQ_SG/(NB_SQ_SG*'Regional data'!K84),"-")</f>
        <v>-</v>
      </c>
      <c r="S144" s="195" t="str">
        <f t="shared" si="42"/>
        <v>-</v>
      </c>
      <c r="T144" s="196" t="str">
        <f t="shared" si="43"/>
        <v>-</v>
      </c>
      <c r="U144" s="198" t="str">
        <f t="shared" si="44"/>
        <v>-</v>
      </c>
      <c r="V144" s="191" t="str">
        <f t="shared" si="45"/>
        <v>-</v>
      </c>
      <c r="W144" s="142" t="str">
        <f t="shared" si="46"/>
        <v>-</v>
      </c>
      <c r="X144" s="192" t="str">
        <f t="shared" si="47"/>
        <v>-</v>
      </c>
      <c r="Y144" s="191" t="str">
        <f>IF(V144="-","-",V144*NB_LQ_SG*'Regional data'!I84)</f>
        <v>-</v>
      </c>
      <c r="Z144" s="142" t="str">
        <f>IF(W144="-","-",W144*NB_MQ_SG*'Regional data'!J84)</f>
        <v>-</v>
      </c>
      <c r="AA144" s="192" t="str">
        <f>IF(X144="-","-",X144*NB_SQ_SG*'Regional data'!K84)</f>
        <v>-</v>
      </c>
      <c r="AB144" s="141" t="str">
        <f>IF('Regional data'!R84&gt;0,'Regional data'!R84*Prod_RA*Size_dist_LQ_RA/(NB_LQ_RA*'Regional data'!O84),"-")</f>
        <v>-</v>
      </c>
      <c r="AC144" s="142" t="str">
        <f>IF('Regional data'!S84&gt;0,'Regional data'!S84*Prod_RA*Size_dist_MQ_RA/(NB_MQ_RA*'Regional data'!P84),"-")</f>
        <v>-</v>
      </c>
      <c r="AD144" s="142" t="str">
        <f>IF('Regional data'!T84&gt;0,'Regional data'!T84*Prod_RA*Size_dist_SQ_RA/(NB_SQ_RA*'Regional data'!Q84),"-")</f>
        <v>-</v>
      </c>
      <c r="AE144" s="195" t="str">
        <f t="shared" si="48"/>
        <v>-</v>
      </c>
      <c r="AF144" s="196" t="str">
        <f t="shared" si="49"/>
        <v>-</v>
      </c>
      <c r="AG144" s="198" t="str">
        <f t="shared" si="50"/>
        <v>-</v>
      </c>
      <c r="AH144" s="191" t="str">
        <f t="shared" si="51"/>
        <v>-</v>
      </c>
      <c r="AI144" s="142" t="str">
        <f t="shared" si="52"/>
        <v>-</v>
      </c>
      <c r="AJ144" s="192" t="str">
        <f t="shared" si="53"/>
        <v>-</v>
      </c>
      <c r="AK144" s="82" t="str">
        <f>IF(AH144="-","-",AH144*NB_LQ_RA*'Regional data'!O84)</f>
        <v>-</v>
      </c>
      <c r="AL144" s="142" t="str">
        <f>IF(AI144="-","-",AI144*NB_MQ_RA*'Regional data'!P84)</f>
        <v>-</v>
      </c>
      <c r="AM144" s="134" t="str">
        <f>IF(AJ144="-","-",AJ144*NB_SQ_RA*'Regional data'!Q84)</f>
        <v>-</v>
      </c>
    </row>
    <row r="145" spans="2:40" x14ac:dyDescent="0.25">
      <c r="B145" s="80">
        <f>'Regional data'!B85</f>
        <v>0</v>
      </c>
      <c r="C145" s="85">
        <f>Coeff_wind_Erosion_CR*(365*(365-'Regional data'!V85)/235)*('Regional data'!W85/365*100/15)*1000</f>
        <v>0</v>
      </c>
      <c r="D145" s="142" t="str">
        <f>IF('Regional data'!F85&gt;0,'Regional data'!F85*Prod_CR*Size_dist_LQ_CR/(NB_LQ_CR*'Regional data'!C85),"-")</f>
        <v>-</v>
      </c>
      <c r="E145" s="142" t="str">
        <f>IF('Regional data'!G85&gt;0,'Regional data'!G85*Prod_CR*Size_dist_MQ_CR/(NB_MQ_CR*'Regional data'!D85),"-")</f>
        <v>-</v>
      </c>
      <c r="F145" s="142" t="str">
        <f>IF('Regional data'!H85&gt;0,'Regional data'!H85*Prod_CR*Size_dist_SQ_CR/(NB_SQ_CR*'Regional data'!E85),"-")</f>
        <v>-</v>
      </c>
      <c r="G145" s="195" t="str">
        <f t="shared" si="36"/>
        <v>-</v>
      </c>
      <c r="H145" s="196" t="str">
        <f t="shared" si="37"/>
        <v>-</v>
      </c>
      <c r="I145" s="198" t="str">
        <f t="shared" si="38"/>
        <v>-</v>
      </c>
      <c r="J145" s="191" t="str">
        <f t="shared" si="39"/>
        <v>-</v>
      </c>
      <c r="K145" s="142" t="str">
        <f t="shared" si="40"/>
        <v>-</v>
      </c>
      <c r="L145" s="192" t="str">
        <f t="shared" si="41"/>
        <v>-</v>
      </c>
      <c r="M145" s="142" t="str">
        <f>IF(J145="-","-",J145*NB_LQ_CR*'Regional data'!C85)</f>
        <v>-</v>
      </c>
      <c r="N145" s="142" t="str">
        <f>IF(K145="-","-",K145*NB_MQ_CR*'Regional data'!D85)</f>
        <v>-</v>
      </c>
      <c r="O145" s="142" t="str">
        <f>IF(L145="-","-",L145*NB_SQ_CR*'Regional data'!E85)</f>
        <v>-</v>
      </c>
      <c r="P145" s="141" t="str">
        <f>IF('Regional data'!L85&gt;0,'Regional data'!L85*Prod_CR*Size_dist_LQ_SG/(NB_LQ_SG*'Regional data'!I85),"-")</f>
        <v>-</v>
      </c>
      <c r="Q145" s="142" t="str">
        <f>IF('Regional data'!M85&gt;0,'Regional data'!M85*Prod_SG*Size_dist_MQ_SG/(NB_MQ_SG*'Regional data'!J85),"-")</f>
        <v>-</v>
      </c>
      <c r="R145" s="142" t="str">
        <f>IF('Regional data'!N85&gt;0,'Regional data'!N85*Prod_SG*Size_dist_SQ_SG/(NB_SQ_SG*'Regional data'!K85),"-")</f>
        <v>-</v>
      </c>
      <c r="S145" s="195" t="str">
        <f t="shared" si="42"/>
        <v>-</v>
      </c>
      <c r="T145" s="196" t="str">
        <f t="shared" si="43"/>
        <v>-</v>
      </c>
      <c r="U145" s="198" t="str">
        <f t="shared" si="44"/>
        <v>-</v>
      </c>
      <c r="V145" s="191" t="str">
        <f t="shared" si="45"/>
        <v>-</v>
      </c>
      <c r="W145" s="142" t="str">
        <f t="shared" si="46"/>
        <v>-</v>
      </c>
      <c r="X145" s="192" t="str">
        <f t="shared" si="47"/>
        <v>-</v>
      </c>
      <c r="Y145" s="191" t="str">
        <f>IF(V145="-","-",V145*NB_LQ_SG*'Regional data'!I85)</f>
        <v>-</v>
      </c>
      <c r="Z145" s="142" t="str">
        <f>IF(W145="-","-",W145*NB_MQ_SG*'Regional data'!J85)</f>
        <v>-</v>
      </c>
      <c r="AA145" s="192" t="str">
        <f>IF(X145="-","-",X145*NB_SQ_SG*'Regional data'!K85)</f>
        <v>-</v>
      </c>
      <c r="AB145" s="141" t="str">
        <f>IF('Regional data'!R85&gt;0,'Regional data'!R85*Prod_RA*Size_dist_LQ_RA/(NB_LQ_RA*'Regional data'!O85),"-")</f>
        <v>-</v>
      </c>
      <c r="AC145" s="142" t="str">
        <f>IF('Regional data'!S85&gt;0,'Regional data'!S85*Prod_RA*Size_dist_MQ_RA/(NB_MQ_RA*'Regional data'!P85),"-")</f>
        <v>-</v>
      </c>
      <c r="AD145" s="142" t="str">
        <f>IF('Regional data'!T85&gt;0,'Regional data'!T85*Prod_RA*Size_dist_SQ_RA/(NB_SQ_RA*'Regional data'!Q85),"-")</f>
        <v>-</v>
      </c>
      <c r="AE145" s="195" t="str">
        <f t="shared" si="48"/>
        <v>-</v>
      </c>
      <c r="AF145" s="196" t="str">
        <f t="shared" si="49"/>
        <v>-</v>
      </c>
      <c r="AG145" s="198" t="str">
        <f t="shared" si="50"/>
        <v>-</v>
      </c>
      <c r="AH145" s="191" t="str">
        <f t="shared" si="51"/>
        <v>-</v>
      </c>
      <c r="AI145" s="142" t="str">
        <f t="shared" si="52"/>
        <v>-</v>
      </c>
      <c r="AJ145" s="192" t="str">
        <f t="shared" si="53"/>
        <v>-</v>
      </c>
      <c r="AK145" s="82" t="str">
        <f>IF(AH145="-","-",AH145*NB_LQ_RA*'Regional data'!O85)</f>
        <v>-</v>
      </c>
      <c r="AL145" s="142" t="str">
        <f>IF(AI145="-","-",AI145*NB_MQ_RA*'Regional data'!P85)</f>
        <v>-</v>
      </c>
      <c r="AM145" s="134" t="str">
        <f>IF(AJ145="-","-",AJ145*NB_SQ_RA*'Regional data'!Q85)</f>
        <v>-</v>
      </c>
    </row>
    <row r="146" spans="2:40" x14ac:dyDescent="0.25">
      <c r="B146" s="80">
        <f>'Regional data'!B86</f>
        <v>0</v>
      </c>
      <c r="C146" s="85">
        <f>Coeff_wind_Erosion_CR*(365*(365-'Regional data'!V86)/235)*('Regional data'!W86/365*100/15)*1000</f>
        <v>0</v>
      </c>
      <c r="D146" s="142" t="str">
        <f>IF('Regional data'!F86&gt;0,'Regional data'!F86*Prod_CR*Size_dist_LQ_CR/(NB_LQ_CR*'Regional data'!C86),"-")</f>
        <v>-</v>
      </c>
      <c r="E146" s="142" t="str">
        <f>IF('Regional data'!G86&gt;0,'Regional data'!G86*Prod_CR*Size_dist_MQ_CR/(NB_MQ_CR*'Regional data'!D86),"-")</f>
        <v>-</v>
      </c>
      <c r="F146" s="142" t="str">
        <f>IF('Regional data'!H86&gt;0,'Regional data'!H86*Prod_CR*Size_dist_SQ_CR/(NB_SQ_CR*'Regional data'!E86),"-")</f>
        <v>-</v>
      </c>
      <c r="G146" s="195" t="str">
        <f t="shared" si="36"/>
        <v>-</v>
      </c>
      <c r="H146" s="196" t="str">
        <f t="shared" si="37"/>
        <v>-</v>
      </c>
      <c r="I146" s="198" t="str">
        <f t="shared" si="38"/>
        <v>-</v>
      </c>
      <c r="J146" s="191" t="str">
        <f t="shared" si="39"/>
        <v>-</v>
      </c>
      <c r="K146" s="142" t="str">
        <f t="shared" si="40"/>
        <v>-</v>
      </c>
      <c r="L146" s="192" t="str">
        <f t="shared" si="41"/>
        <v>-</v>
      </c>
      <c r="M146" s="142" t="str">
        <f>IF(J146="-","-",J146*NB_LQ_CR*'Regional data'!C86)</f>
        <v>-</v>
      </c>
      <c r="N146" s="142" t="str">
        <f>IF(K146="-","-",K146*NB_MQ_CR*'Regional data'!D86)</f>
        <v>-</v>
      </c>
      <c r="O146" s="142" t="str">
        <f>IF(L146="-","-",L146*NB_SQ_CR*'Regional data'!E86)</f>
        <v>-</v>
      </c>
      <c r="P146" s="141" t="str">
        <f>IF('Regional data'!L86&gt;0,'Regional data'!L86*Prod_CR*Size_dist_LQ_SG/(NB_LQ_SG*'Regional data'!I86),"-")</f>
        <v>-</v>
      </c>
      <c r="Q146" s="142" t="str">
        <f>IF('Regional data'!M86&gt;0,'Regional data'!M86*Prod_SG*Size_dist_MQ_SG/(NB_MQ_SG*'Regional data'!J86),"-")</f>
        <v>-</v>
      </c>
      <c r="R146" s="142" t="str">
        <f>IF('Regional data'!N86&gt;0,'Regional data'!N86*Prod_SG*Size_dist_SQ_SG/(NB_SQ_SG*'Regional data'!K86),"-")</f>
        <v>-</v>
      </c>
      <c r="S146" s="195" t="str">
        <f t="shared" si="42"/>
        <v>-</v>
      </c>
      <c r="T146" s="196" t="str">
        <f t="shared" si="43"/>
        <v>-</v>
      </c>
      <c r="U146" s="198" t="str">
        <f t="shared" si="44"/>
        <v>-</v>
      </c>
      <c r="V146" s="191" t="str">
        <f t="shared" si="45"/>
        <v>-</v>
      </c>
      <c r="W146" s="142" t="str">
        <f t="shared" si="46"/>
        <v>-</v>
      </c>
      <c r="X146" s="192" t="str">
        <f t="shared" si="47"/>
        <v>-</v>
      </c>
      <c r="Y146" s="191" t="str">
        <f>IF(V146="-","-",V146*NB_LQ_SG*'Regional data'!I86)</f>
        <v>-</v>
      </c>
      <c r="Z146" s="142" t="str">
        <f>IF(W146="-","-",W146*NB_MQ_SG*'Regional data'!J86)</f>
        <v>-</v>
      </c>
      <c r="AA146" s="192" t="str">
        <f>IF(X146="-","-",X146*NB_SQ_SG*'Regional data'!K86)</f>
        <v>-</v>
      </c>
      <c r="AB146" s="141" t="str">
        <f>IF('Regional data'!R86&gt;0,'Regional data'!R86*Prod_RA*Size_dist_LQ_RA/(NB_LQ_RA*'Regional data'!O86),"-")</f>
        <v>-</v>
      </c>
      <c r="AC146" s="142" t="str">
        <f>IF('Regional data'!S86&gt;0,'Regional data'!S86*Prod_RA*Size_dist_MQ_RA/(NB_MQ_RA*'Regional data'!P86),"-")</f>
        <v>-</v>
      </c>
      <c r="AD146" s="142" t="str">
        <f>IF('Regional data'!T86&gt;0,'Regional data'!T86*Prod_RA*Size_dist_SQ_RA/(NB_SQ_RA*'Regional data'!Q86),"-")</f>
        <v>-</v>
      </c>
      <c r="AE146" s="195" t="str">
        <f t="shared" si="48"/>
        <v>-</v>
      </c>
      <c r="AF146" s="196" t="str">
        <f t="shared" si="49"/>
        <v>-</v>
      </c>
      <c r="AG146" s="198" t="str">
        <f t="shared" si="50"/>
        <v>-</v>
      </c>
      <c r="AH146" s="191" t="str">
        <f t="shared" si="51"/>
        <v>-</v>
      </c>
      <c r="AI146" s="142" t="str">
        <f t="shared" si="52"/>
        <v>-</v>
      </c>
      <c r="AJ146" s="192" t="str">
        <f t="shared" si="53"/>
        <v>-</v>
      </c>
      <c r="AK146" s="82" t="str">
        <f>IF(AH146="-","-",AH146*NB_LQ_RA*'Regional data'!O86)</f>
        <v>-</v>
      </c>
      <c r="AL146" s="142" t="str">
        <f>IF(AI146="-","-",AI146*NB_MQ_RA*'Regional data'!P86)</f>
        <v>-</v>
      </c>
      <c r="AM146" s="134" t="str">
        <f>IF(AJ146="-","-",AJ146*NB_SQ_RA*'Regional data'!Q86)</f>
        <v>-</v>
      </c>
    </row>
    <row r="147" spans="2:40" x14ac:dyDescent="0.25">
      <c r="B147" s="80">
        <f>'Regional data'!B87</f>
        <v>0</v>
      </c>
      <c r="C147" s="85">
        <f>Coeff_wind_Erosion_CR*(365*(365-'Regional data'!V87)/235)*('Regional data'!W87/365*100/15)*1000</f>
        <v>0</v>
      </c>
      <c r="D147" s="142" t="str">
        <f>IF('Regional data'!F87&gt;0,'Regional data'!F87*Prod_CR*Size_dist_LQ_CR/(NB_LQ_CR*'Regional data'!C87),"-")</f>
        <v>-</v>
      </c>
      <c r="E147" s="142" t="str">
        <f>IF('Regional data'!G87&gt;0,'Regional data'!G87*Prod_CR*Size_dist_MQ_CR/(NB_MQ_CR*'Regional data'!D87),"-")</f>
        <v>-</v>
      </c>
      <c r="F147" s="142" t="str">
        <f>IF('Regional data'!H87&gt;0,'Regional data'!H87*Prod_CR*Size_dist_SQ_CR/(NB_SQ_CR*'Regional data'!E87),"-")</f>
        <v>-</v>
      </c>
      <c r="G147" s="195" t="str">
        <f t="shared" si="36"/>
        <v>-</v>
      </c>
      <c r="H147" s="196" t="str">
        <f t="shared" si="37"/>
        <v>-</v>
      </c>
      <c r="I147" s="198" t="str">
        <f t="shared" si="38"/>
        <v>-</v>
      </c>
      <c r="J147" s="191" t="str">
        <f t="shared" si="39"/>
        <v>-</v>
      </c>
      <c r="K147" s="142" t="str">
        <f t="shared" si="40"/>
        <v>-</v>
      </c>
      <c r="L147" s="192" t="str">
        <f t="shared" si="41"/>
        <v>-</v>
      </c>
      <c r="M147" s="142" t="str">
        <f>IF(J147="-","-",J147*NB_LQ_CR*'Regional data'!C87)</f>
        <v>-</v>
      </c>
      <c r="N147" s="142" t="str">
        <f>IF(K147="-","-",K147*NB_MQ_CR*'Regional data'!D87)</f>
        <v>-</v>
      </c>
      <c r="O147" s="142" t="str">
        <f>IF(L147="-","-",L147*NB_SQ_CR*'Regional data'!E87)</f>
        <v>-</v>
      </c>
      <c r="P147" s="141" t="str">
        <f>IF('Regional data'!L87&gt;0,'Regional data'!L87*Prod_CR*Size_dist_LQ_SG/(NB_LQ_SG*'Regional data'!I87),"-")</f>
        <v>-</v>
      </c>
      <c r="Q147" s="142" t="str">
        <f>IF('Regional data'!M87&gt;0,'Regional data'!M87*Prod_SG*Size_dist_MQ_SG/(NB_MQ_SG*'Regional data'!J87),"-")</f>
        <v>-</v>
      </c>
      <c r="R147" s="142" t="str">
        <f>IF('Regional data'!N87&gt;0,'Regional data'!N87*Prod_SG*Size_dist_SQ_SG/(NB_SQ_SG*'Regional data'!K87),"-")</f>
        <v>-</v>
      </c>
      <c r="S147" s="195" t="str">
        <f t="shared" si="42"/>
        <v>-</v>
      </c>
      <c r="T147" s="196" t="str">
        <f t="shared" si="43"/>
        <v>-</v>
      </c>
      <c r="U147" s="198" t="str">
        <f t="shared" si="44"/>
        <v>-</v>
      </c>
      <c r="V147" s="191" t="str">
        <f t="shared" si="45"/>
        <v>-</v>
      </c>
      <c r="W147" s="142" t="str">
        <f t="shared" si="46"/>
        <v>-</v>
      </c>
      <c r="X147" s="192" t="str">
        <f t="shared" si="47"/>
        <v>-</v>
      </c>
      <c r="Y147" s="191" t="str">
        <f>IF(V147="-","-",V147*NB_LQ_SG*'Regional data'!I87)</f>
        <v>-</v>
      </c>
      <c r="Z147" s="142" t="str">
        <f>IF(W147="-","-",W147*NB_MQ_SG*'Regional data'!J87)</f>
        <v>-</v>
      </c>
      <c r="AA147" s="192" t="str">
        <f>IF(X147="-","-",X147*NB_SQ_SG*'Regional data'!K87)</f>
        <v>-</v>
      </c>
      <c r="AB147" s="141" t="str">
        <f>IF('Regional data'!R87&gt;0,'Regional data'!R87*Prod_RA*Size_dist_LQ_RA/(NB_LQ_RA*'Regional data'!O87),"-")</f>
        <v>-</v>
      </c>
      <c r="AC147" s="142" t="str">
        <f>IF('Regional data'!S87&gt;0,'Regional data'!S87*Prod_RA*Size_dist_MQ_RA/(NB_MQ_RA*'Regional data'!P87),"-")</f>
        <v>-</v>
      </c>
      <c r="AD147" s="142" t="str">
        <f>IF('Regional data'!T87&gt;0,'Regional data'!T87*Prod_RA*Size_dist_SQ_RA/(NB_SQ_RA*'Regional data'!Q87),"-")</f>
        <v>-</v>
      </c>
      <c r="AE147" s="195" t="str">
        <f t="shared" si="48"/>
        <v>-</v>
      </c>
      <c r="AF147" s="196" t="str">
        <f t="shared" si="49"/>
        <v>-</v>
      </c>
      <c r="AG147" s="198" t="str">
        <f t="shared" si="50"/>
        <v>-</v>
      </c>
      <c r="AH147" s="191" t="str">
        <f t="shared" si="51"/>
        <v>-</v>
      </c>
      <c r="AI147" s="142" t="str">
        <f t="shared" si="52"/>
        <v>-</v>
      </c>
      <c r="AJ147" s="192" t="str">
        <f t="shared" si="53"/>
        <v>-</v>
      </c>
      <c r="AK147" s="82" t="str">
        <f>IF(AH147="-","-",AH147*NB_LQ_RA*'Regional data'!O87)</f>
        <v>-</v>
      </c>
      <c r="AL147" s="142" t="str">
        <f>IF(AI147="-","-",AI147*NB_MQ_RA*'Regional data'!P87)</f>
        <v>-</v>
      </c>
      <c r="AM147" s="134" t="str">
        <f>IF(AJ147="-","-",AJ147*NB_SQ_RA*'Regional data'!Q87)</f>
        <v>-</v>
      </c>
    </row>
    <row r="148" spans="2:40" x14ac:dyDescent="0.25">
      <c r="B148" s="80">
        <f>'Regional data'!B88</f>
        <v>0</v>
      </c>
      <c r="C148" s="85">
        <f>Coeff_wind_Erosion_CR*(365*(365-'Regional data'!V88)/235)*('Regional data'!W88/365*100/15)*1000</f>
        <v>0</v>
      </c>
      <c r="D148" s="142" t="str">
        <f>IF('Regional data'!F88&gt;0,'Regional data'!F88*Prod_CR*Size_dist_LQ_CR/(NB_LQ_CR*'Regional data'!C88),"-")</f>
        <v>-</v>
      </c>
      <c r="E148" s="142" t="str">
        <f>IF('Regional data'!G88&gt;0,'Regional data'!G88*Prod_CR*Size_dist_MQ_CR/(NB_MQ_CR*'Regional data'!D88),"-")</f>
        <v>-</v>
      </c>
      <c r="F148" s="142" t="str">
        <f>IF('Regional data'!H88&gt;0,'Regional data'!H88*Prod_CR*Size_dist_SQ_CR/(NB_SQ_CR*'Regional data'!E88),"-")</f>
        <v>-</v>
      </c>
      <c r="G148" s="195" t="str">
        <f t="shared" si="36"/>
        <v>-</v>
      </c>
      <c r="H148" s="196" t="str">
        <f t="shared" si="37"/>
        <v>-</v>
      </c>
      <c r="I148" s="198" t="str">
        <f t="shared" si="38"/>
        <v>-</v>
      </c>
      <c r="J148" s="191" t="str">
        <f t="shared" si="39"/>
        <v>-</v>
      </c>
      <c r="K148" s="142" t="str">
        <f t="shared" si="40"/>
        <v>-</v>
      </c>
      <c r="L148" s="192" t="str">
        <f t="shared" si="41"/>
        <v>-</v>
      </c>
      <c r="M148" s="142" t="str">
        <f>IF(J148="-","-",J148*NB_LQ_CR*'Regional data'!C88)</f>
        <v>-</v>
      </c>
      <c r="N148" s="142" t="str">
        <f>IF(K148="-","-",K148*NB_MQ_CR*'Regional data'!D88)</f>
        <v>-</v>
      </c>
      <c r="O148" s="142" t="str">
        <f>IF(L148="-","-",L148*NB_SQ_CR*'Regional data'!E88)</f>
        <v>-</v>
      </c>
      <c r="P148" s="141" t="str">
        <f>IF('Regional data'!L88&gt;0,'Regional data'!L88*Prod_CR*Size_dist_LQ_SG/(NB_LQ_SG*'Regional data'!I88),"-")</f>
        <v>-</v>
      </c>
      <c r="Q148" s="142" t="str">
        <f>IF('Regional data'!M88&gt;0,'Regional data'!M88*Prod_SG*Size_dist_MQ_SG/(NB_MQ_SG*'Regional data'!J88),"-")</f>
        <v>-</v>
      </c>
      <c r="R148" s="142" t="str">
        <f>IF('Regional data'!N88&gt;0,'Regional data'!N88*Prod_SG*Size_dist_SQ_SG/(NB_SQ_SG*'Regional data'!K88),"-")</f>
        <v>-</v>
      </c>
      <c r="S148" s="195" t="str">
        <f t="shared" si="42"/>
        <v>-</v>
      </c>
      <c r="T148" s="196" t="str">
        <f t="shared" si="43"/>
        <v>-</v>
      </c>
      <c r="U148" s="198" t="str">
        <f t="shared" si="44"/>
        <v>-</v>
      </c>
      <c r="V148" s="191" t="str">
        <f t="shared" si="45"/>
        <v>-</v>
      </c>
      <c r="W148" s="142" t="str">
        <f t="shared" si="46"/>
        <v>-</v>
      </c>
      <c r="X148" s="192" t="str">
        <f t="shared" si="47"/>
        <v>-</v>
      </c>
      <c r="Y148" s="191" t="str">
        <f>IF(V148="-","-",V148*NB_LQ_SG*'Regional data'!I88)</f>
        <v>-</v>
      </c>
      <c r="Z148" s="142" t="str">
        <f>IF(W148="-","-",W148*NB_MQ_SG*'Regional data'!J88)</f>
        <v>-</v>
      </c>
      <c r="AA148" s="192" t="str">
        <f>IF(X148="-","-",X148*NB_SQ_SG*'Regional data'!K88)</f>
        <v>-</v>
      </c>
      <c r="AB148" s="141" t="str">
        <f>IF('Regional data'!R88&gt;0,'Regional data'!R88*Prod_RA*Size_dist_LQ_RA/(NB_LQ_RA*'Regional data'!O88),"-")</f>
        <v>-</v>
      </c>
      <c r="AC148" s="142" t="str">
        <f>IF('Regional data'!S88&gt;0,'Regional data'!S88*Prod_RA*Size_dist_MQ_RA/(NB_MQ_RA*'Regional data'!P88),"-")</f>
        <v>-</v>
      </c>
      <c r="AD148" s="142" t="str">
        <f>IF('Regional data'!T88&gt;0,'Regional data'!T88*Prod_RA*Size_dist_SQ_RA/(NB_SQ_RA*'Regional data'!Q88),"-")</f>
        <v>-</v>
      </c>
      <c r="AE148" s="195" t="str">
        <f t="shared" si="48"/>
        <v>-</v>
      </c>
      <c r="AF148" s="196" t="str">
        <f t="shared" si="49"/>
        <v>-</v>
      </c>
      <c r="AG148" s="198" t="str">
        <f t="shared" si="50"/>
        <v>-</v>
      </c>
      <c r="AH148" s="191" t="str">
        <f t="shared" si="51"/>
        <v>-</v>
      </c>
      <c r="AI148" s="142" t="str">
        <f t="shared" si="52"/>
        <v>-</v>
      </c>
      <c r="AJ148" s="192" t="str">
        <f t="shared" si="53"/>
        <v>-</v>
      </c>
      <c r="AK148" s="82" t="str">
        <f>IF(AH148="-","-",AH148*NB_LQ_RA*'Regional data'!O88)</f>
        <v>-</v>
      </c>
      <c r="AL148" s="142" t="str">
        <f>IF(AI148="-","-",AI148*NB_MQ_RA*'Regional data'!P88)</f>
        <v>-</v>
      </c>
      <c r="AM148" s="134" t="str">
        <f>IF(AJ148="-","-",AJ148*NB_SQ_RA*'Regional data'!Q88)</f>
        <v>-</v>
      </c>
    </row>
    <row r="149" spans="2:40" x14ac:dyDescent="0.25">
      <c r="B149" s="80">
        <f>'Regional data'!B89</f>
        <v>0</v>
      </c>
      <c r="C149" s="85">
        <f>Coeff_wind_Erosion_CR*(365*(365-'Regional data'!V89)/235)*('Regional data'!W89/365*100/15)*1000</f>
        <v>0</v>
      </c>
      <c r="D149" s="142" t="str">
        <f>IF('Regional data'!F89&gt;0,'Regional data'!F89*Prod_CR*Size_dist_LQ_CR/(NB_LQ_CR*'Regional data'!C89),"-")</f>
        <v>-</v>
      </c>
      <c r="E149" s="142" t="str">
        <f>IF('Regional data'!G89&gt;0,'Regional data'!G89*Prod_CR*Size_dist_MQ_CR/(NB_MQ_CR*'Regional data'!D89),"-")</f>
        <v>-</v>
      </c>
      <c r="F149" s="142" t="str">
        <f>IF('Regional data'!H89&gt;0,'Regional data'!H89*Prod_CR*Size_dist_SQ_CR/(NB_SQ_CR*'Regional data'!E89),"-")</f>
        <v>-</v>
      </c>
      <c r="G149" s="195" t="str">
        <f t="shared" si="36"/>
        <v>-</v>
      </c>
      <c r="H149" s="196" t="str">
        <f t="shared" si="37"/>
        <v>-</v>
      </c>
      <c r="I149" s="198" t="str">
        <f t="shared" si="38"/>
        <v>-</v>
      </c>
      <c r="J149" s="191" t="str">
        <f t="shared" si="39"/>
        <v>-</v>
      </c>
      <c r="K149" s="142" t="str">
        <f t="shared" si="40"/>
        <v>-</v>
      </c>
      <c r="L149" s="192" t="str">
        <f t="shared" si="41"/>
        <v>-</v>
      </c>
      <c r="M149" s="142" t="str">
        <f>IF(J149="-","-",J149*NB_LQ_CR*'Regional data'!C89)</f>
        <v>-</v>
      </c>
      <c r="N149" s="142" t="str">
        <f>IF(K149="-","-",K149*NB_MQ_CR*'Regional data'!D89)</f>
        <v>-</v>
      </c>
      <c r="O149" s="142" t="str">
        <f>IF(L149="-","-",L149*NB_SQ_CR*'Regional data'!E89)</f>
        <v>-</v>
      </c>
      <c r="P149" s="141" t="str">
        <f>IF('Regional data'!L89&gt;0,'Regional data'!L89*Prod_CR*Size_dist_LQ_SG/(NB_LQ_SG*'Regional data'!I89),"-")</f>
        <v>-</v>
      </c>
      <c r="Q149" s="142" t="str">
        <f>IF('Regional data'!M89&gt;0,'Regional data'!M89*Prod_SG*Size_dist_MQ_SG/(NB_MQ_SG*'Regional data'!J89),"-")</f>
        <v>-</v>
      </c>
      <c r="R149" s="142" t="str">
        <f>IF('Regional data'!N89&gt;0,'Regional data'!N89*Prod_SG*Size_dist_SQ_SG/(NB_SQ_SG*'Regional data'!K89),"-")</f>
        <v>-</v>
      </c>
      <c r="S149" s="195" t="str">
        <f t="shared" si="42"/>
        <v>-</v>
      </c>
      <c r="T149" s="196" t="str">
        <f t="shared" si="43"/>
        <v>-</v>
      </c>
      <c r="U149" s="198" t="str">
        <f t="shared" si="44"/>
        <v>-</v>
      </c>
      <c r="V149" s="191" t="str">
        <f t="shared" si="45"/>
        <v>-</v>
      </c>
      <c r="W149" s="142" t="str">
        <f t="shared" si="46"/>
        <v>-</v>
      </c>
      <c r="X149" s="192" t="str">
        <f t="shared" si="47"/>
        <v>-</v>
      </c>
      <c r="Y149" s="191" t="str">
        <f>IF(V149="-","-",V149*NB_LQ_SG*'Regional data'!I89)</f>
        <v>-</v>
      </c>
      <c r="Z149" s="142" t="str">
        <f>IF(W149="-","-",W149*NB_MQ_SG*'Regional data'!J89)</f>
        <v>-</v>
      </c>
      <c r="AA149" s="192" t="str">
        <f>IF(X149="-","-",X149*NB_SQ_SG*'Regional data'!K89)</f>
        <v>-</v>
      </c>
      <c r="AB149" s="141" t="str">
        <f>IF('Regional data'!R89&gt;0,'Regional data'!R89*Prod_RA*Size_dist_LQ_RA/(NB_LQ_RA*'Regional data'!O89),"-")</f>
        <v>-</v>
      </c>
      <c r="AC149" s="142" t="str">
        <f>IF('Regional data'!S89&gt;0,'Regional data'!S89*Prod_RA*Size_dist_MQ_RA/(NB_MQ_RA*'Regional data'!P89),"-")</f>
        <v>-</v>
      </c>
      <c r="AD149" s="142" t="str">
        <f>IF('Regional data'!T89&gt;0,'Regional data'!T89*Prod_RA*Size_dist_SQ_RA/(NB_SQ_RA*'Regional data'!Q89),"-")</f>
        <v>-</v>
      </c>
      <c r="AE149" s="195" t="str">
        <f t="shared" si="48"/>
        <v>-</v>
      </c>
      <c r="AF149" s="196" t="str">
        <f t="shared" si="49"/>
        <v>-</v>
      </c>
      <c r="AG149" s="198" t="str">
        <f t="shared" si="50"/>
        <v>-</v>
      </c>
      <c r="AH149" s="191" t="str">
        <f t="shared" si="51"/>
        <v>-</v>
      </c>
      <c r="AI149" s="142" t="str">
        <f t="shared" si="52"/>
        <v>-</v>
      </c>
      <c r="AJ149" s="192" t="str">
        <f t="shared" si="53"/>
        <v>-</v>
      </c>
      <c r="AK149" s="82" t="str">
        <f>IF(AH149="-","-",AH149*NB_LQ_RA*'Regional data'!O89)</f>
        <v>-</v>
      </c>
      <c r="AL149" s="142" t="str">
        <f>IF(AI149="-","-",AI149*NB_MQ_RA*'Regional data'!P89)</f>
        <v>-</v>
      </c>
      <c r="AM149" s="134" t="str">
        <f>IF(AJ149="-","-",AJ149*NB_SQ_RA*'Regional data'!Q89)</f>
        <v>-</v>
      </c>
    </row>
    <row r="150" spans="2:40" x14ac:dyDescent="0.25">
      <c r="B150" s="80">
        <f>'Regional data'!B90</f>
        <v>0</v>
      </c>
      <c r="C150" s="85">
        <f>Coeff_wind_Erosion_CR*(365*(365-'Regional data'!V90)/235)*('Regional data'!W90/365*100/15)*1000</f>
        <v>0</v>
      </c>
      <c r="D150" s="142" t="str">
        <f>IF('Regional data'!F90&gt;0,'Regional data'!F90*Prod_CR*Size_dist_LQ_CR/(NB_LQ_CR*'Regional data'!C90),"-")</f>
        <v>-</v>
      </c>
      <c r="E150" s="142" t="str">
        <f>IF('Regional data'!G90&gt;0,'Regional data'!G90*Prod_CR*Size_dist_MQ_CR/(NB_MQ_CR*'Regional data'!D90),"-")</f>
        <v>-</v>
      </c>
      <c r="F150" s="142" t="str">
        <f>IF('Regional data'!H90&gt;0,'Regional data'!H90*Prod_CR*Size_dist_SQ_CR/(NB_SQ_CR*'Regional data'!E90),"-")</f>
        <v>-</v>
      </c>
      <c r="G150" s="195" t="str">
        <f t="shared" si="36"/>
        <v>-</v>
      </c>
      <c r="H150" s="196" t="str">
        <f t="shared" si="37"/>
        <v>-</v>
      </c>
      <c r="I150" s="198" t="str">
        <f t="shared" si="38"/>
        <v>-</v>
      </c>
      <c r="J150" s="191" t="str">
        <f t="shared" si="39"/>
        <v>-</v>
      </c>
      <c r="K150" s="142" t="str">
        <f t="shared" si="40"/>
        <v>-</v>
      </c>
      <c r="L150" s="192" t="str">
        <f t="shared" si="41"/>
        <v>-</v>
      </c>
      <c r="M150" s="142" t="str">
        <f>IF(J150="-","-",J150*NB_LQ_CR*'Regional data'!C90)</f>
        <v>-</v>
      </c>
      <c r="N150" s="142" t="str">
        <f>IF(K150="-","-",K150*NB_MQ_CR*'Regional data'!D90)</f>
        <v>-</v>
      </c>
      <c r="O150" s="142" t="str">
        <f>IF(L150="-","-",L150*NB_SQ_CR*'Regional data'!E90)</f>
        <v>-</v>
      </c>
      <c r="P150" s="141" t="str">
        <f>IF('Regional data'!L90&gt;0,'Regional data'!L90*Prod_CR*Size_dist_LQ_SG/(NB_LQ_SG*'Regional data'!I90),"-")</f>
        <v>-</v>
      </c>
      <c r="Q150" s="142" t="str">
        <f>IF('Regional data'!M90&gt;0,'Regional data'!M90*Prod_SG*Size_dist_MQ_SG/(NB_MQ_SG*'Regional data'!J90),"-")</f>
        <v>-</v>
      </c>
      <c r="R150" s="142" t="str">
        <f>IF('Regional data'!N90&gt;0,'Regional data'!N90*Prod_SG*Size_dist_SQ_SG/(NB_SQ_SG*'Regional data'!K90),"-")</f>
        <v>-</v>
      </c>
      <c r="S150" s="195" t="str">
        <f t="shared" si="42"/>
        <v>-</v>
      </c>
      <c r="T150" s="196" t="str">
        <f t="shared" si="43"/>
        <v>-</v>
      </c>
      <c r="U150" s="198" t="str">
        <f t="shared" si="44"/>
        <v>-</v>
      </c>
      <c r="V150" s="191" t="str">
        <f t="shared" si="45"/>
        <v>-</v>
      </c>
      <c r="W150" s="142" t="str">
        <f t="shared" si="46"/>
        <v>-</v>
      </c>
      <c r="X150" s="192" t="str">
        <f t="shared" si="47"/>
        <v>-</v>
      </c>
      <c r="Y150" s="191" t="str">
        <f>IF(V150="-","-",V150*NB_LQ_SG*'Regional data'!I90)</f>
        <v>-</v>
      </c>
      <c r="Z150" s="142" t="str">
        <f>IF(W150="-","-",W150*NB_MQ_SG*'Regional data'!J90)</f>
        <v>-</v>
      </c>
      <c r="AA150" s="192" t="str">
        <f>IF(X150="-","-",X150*NB_SQ_SG*'Regional data'!K90)</f>
        <v>-</v>
      </c>
      <c r="AB150" s="141" t="str">
        <f>IF('Regional data'!R90&gt;0,'Regional data'!R90*Prod_RA*Size_dist_LQ_RA/(NB_LQ_RA*'Regional data'!O90),"-")</f>
        <v>-</v>
      </c>
      <c r="AC150" s="142" t="str">
        <f>IF('Regional data'!S90&gt;0,'Regional data'!S90*Prod_RA*Size_dist_MQ_RA/(NB_MQ_RA*'Regional data'!P90),"-")</f>
        <v>-</v>
      </c>
      <c r="AD150" s="142" t="str">
        <f>IF('Regional data'!T90&gt;0,'Regional data'!T90*Prod_RA*Size_dist_SQ_RA/(NB_SQ_RA*'Regional data'!Q90),"-")</f>
        <v>-</v>
      </c>
      <c r="AE150" s="195" t="str">
        <f t="shared" si="48"/>
        <v>-</v>
      </c>
      <c r="AF150" s="196" t="str">
        <f t="shared" si="49"/>
        <v>-</v>
      </c>
      <c r="AG150" s="198" t="str">
        <f t="shared" si="50"/>
        <v>-</v>
      </c>
      <c r="AH150" s="191" t="str">
        <f t="shared" si="51"/>
        <v>-</v>
      </c>
      <c r="AI150" s="142" t="str">
        <f t="shared" si="52"/>
        <v>-</v>
      </c>
      <c r="AJ150" s="192" t="str">
        <f t="shared" si="53"/>
        <v>-</v>
      </c>
      <c r="AK150" s="82" t="str">
        <f>IF(AH150="-","-",AH150*NB_LQ_RA*'Regional data'!O90)</f>
        <v>-</v>
      </c>
      <c r="AL150" s="142" t="str">
        <f>IF(AI150="-","-",AI150*NB_MQ_RA*'Regional data'!P90)</f>
        <v>-</v>
      </c>
      <c r="AM150" s="134" t="str">
        <f>IF(AJ150="-","-",AJ150*NB_SQ_RA*'Regional data'!Q90)</f>
        <v>-</v>
      </c>
    </row>
    <row r="151" spans="2:40" x14ac:dyDescent="0.25">
      <c r="B151" s="80">
        <f>'Regional data'!B91</f>
        <v>0</v>
      </c>
      <c r="C151" s="85">
        <f>Coeff_wind_Erosion_CR*(365*(365-'Regional data'!V91)/235)*('Regional data'!W91/365*100/15)*1000</f>
        <v>0</v>
      </c>
      <c r="D151" s="142" t="str">
        <f>IF('Regional data'!F91&gt;0,'Regional data'!F91*Prod_CR*Size_dist_LQ_CR/(NB_LQ_CR*'Regional data'!C91),"-")</f>
        <v>-</v>
      </c>
      <c r="E151" s="142" t="str">
        <f>IF('Regional data'!G91&gt;0,'Regional data'!G91*Prod_CR*Size_dist_MQ_CR/(NB_MQ_CR*'Regional data'!D91),"-")</f>
        <v>-</v>
      </c>
      <c r="F151" s="142" t="str">
        <f>IF('Regional data'!H91&gt;0,'Regional data'!H91*Prod_CR*Size_dist_SQ_CR/(NB_SQ_CR*'Regional data'!E91),"-")</f>
        <v>-</v>
      </c>
      <c r="G151" s="195" t="str">
        <f t="shared" si="36"/>
        <v>-</v>
      </c>
      <c r="H151" s="196" t="str">
        <f t="shared" si="37"/>
        <v>-</v>
      </c>
      <c r="I151" s="198" t="str">
        <f t="shared" si="38"/>
        <v>-</v>
      </c>
      <c r="J151" s="191" t="str">
        <f t="shared" si="39"/>
        <v>-</v>
      </c>
      <c r="K151" s="142" t="str">
        <f t="shared" si="40"/>
        <v>-</v>
      </c>
      <c r="L151" s="192" t="str">
        <f t="shared" si="41"/>
        <v>-</v>
      </c>
      <c r="M151" s="142" t="str">
        <f>IF(J151="-","-",J151*NB_LQ_CR*'Regional data'!C91)</f>
        <v>-</v>
      </c>
      <c r="N151" s="142" t="str">
        <f>IF(K151="-","-",K151*NB_MQ_CR*'Regional data'!D91)</f>
        <v>-</v>
      </c>
      <c r="O151" s="142" t="str">
        <f>IF(L151="-","-",L151*NB_SQ_CR*'Regional data'!E91)</f>
        <v>-</v>
      </c>
      <c r="P151" s="141" t="str">
        <f>IF('Regional data'!L91&gt;0,'Regional data'!L91*Prod_CR*Size_dist_LQ_SG/(NB_LQ_SG*'Regional data'!I91),"-")</f>
        <v>-</v>
      </c>
      <c r="Q151" s="142" t="str">
        <f>IF('Regional data'!M91&gt;0,'Regional data'!M91*Prod_SG*Size_dist_MQ_SG/(NB_MQ_SG*'Regional data'!J91),"-")</f>
        <v>-</v>
      </c>
      <c r="R151" s="142" t="str">
        <f>IF('Regional data'!N91&gt;0,'Regional data'!N91*Prod_SG*Size_dist_SQ_SG/(NB_SQ_SG*'Regional data'!K91),"-")</f>
        <v>-</v>
      </c>
      <c r="S151" s="195" t="str">
        <f t="shared" si="42"/>
        <v>-</v>
      </c>
      <c r="T151" s="196" t="str">
        <f t="shared" si="43"/>
        <v>-</v>
      </c>
      <c r="U151" s="198" t="str">
        <f t="shared" si="44"/>
        <v>-</v>
      </c>
      <c r="V151" s="191" t="str">
        <f t="shared" si="45"/>
        <v>-</v>
      </c>
      <c r="W151" s="142" t="str">
        <f t="shared" si="46"/>
        <v>-</v>
      </c>
      <c r="X151" s="192" t="str">
        <f t="shared" si="47"/>
        <v>-</v>
      </c>
      <c r="Y151" s="191" t="str">
        <f>IF(V151="-","-",V151*NB_LQ_SG*'Regional data'!I91)</f>
        <v>-</v>
      </c>
      <c r="Z151" s="142" t="str">
        <f>IF(W151="-","-",W151*NB_MQ_SG*'Regional data'!J91)</f>
        <v>-</v>
      </c>
      <c r="AA151" s="192" t="str">
        <f>IF(X151="-","-",X151*NB_SQ_SG*'Regional data'!K91)</f>
        <v>-</v>
      </c>
      <c r="AB151" s="141" t="str">
        <f>IF('Regional data'!R91&gt;0,'Regional data'!R91*Prod_RA*Size_dist_LQ_RA/(NB_LQ_RA*'Regional data'!O91),"-")</f>
        <v>-</v>
      </c>
      <c r="AC151" s="142" t="str">
        <f>IF('Regional data'!S91&gt;0,'Regional data'!S91*Prod_RA*Size_dist_MQ_RA/(NB_MQ_RA*'Regional data'!P91),"-")</f>
        <v>-</v>
      </c>
      <c r="AD151" s="142" t="str">
        <f>IF('Regional data'!T91&gt;0,'Regional data'!T91*Prod_RA*Size_dist_SQ_RA/(NB_SQ_RA*'Regional data'!Q91),"-")</f>
        <v>-</v>
      </c>
      <c r="AE151" s="195" t="str">
        <f t="shared" si="48"/>
        <v>-</v>
      </c>
      <c r="AF151" s="196" t="str">
        <f t="shared" si="49"/>
        <v>-</v>
      </c>
      <c r="AG151" s="198" t="str">
        <f t="shared" si="50"/>
        <v>-</v>
      </c>
      <c r="AH151" s="191" t="str">
        <f t="shared" si="51"/>
        <v>-</v>
      </c>
      <c r="AI151" s="142" t="str">
        <f t="shared" si="52"/>
        <v>-</v>
      </c>
      <c r="AJ151" s="192" t="str">
        <f t="shared" si="53"/>
        <v>-</v>
      </c>
      <c r="AK151" s="82" t="str">
        <f>IF(AH151="-","-",AH151*NB_LQ_RA*'Regional data'!O91)</f>
        <v>-</v>
      </c>
      <c r="AL151" s="142" t="str">
        <f>IF(AI151="-","-",AI151*NB_MQ_RA*'Regional data'!P91)</f>
        <v>-</v>
      </c>
      <c r="AM151" s="134" t="str">
        <f>IF(AJ151="-","-",AJ151*NB_SQ_RA*'Regional data'!Q91)</f>
        <v>-</v>
      </c>
    </row>
    <row r="152" spans="2:40" x14ac:dyDescent="0.25">
      <c r="B152" s="80">
        <f>'Regional data'!B92</f>
        <v>0</v>
      </c>
      <c r="C152" s="85">
        <f>Coeff_wind_Erosion_CR*(365*(365-'Regional data'!V92)/235)*('Regional data'!W92/365*100/15)*1000</f>
        <v>0</v>
      </c>
      <c r="D152" s="142" t="str">
        <f>IF('Regional data'!F92&gt;0,'Regional data'!F92*Prod_CR*Size_dist_LQ_CR/(NB_LQ_CR*'Regional data'!C92),"-")</f>
        <v>-</v>
      </c>
      <c r="E152" s="142" t="str">
        <f>IF('Regional data'!G92&gt;0,'Regional data'!G92*Prod_CR*Size_dist_MQ_CR/(NB_MQ_CR*'Regional data'!D92),"-")</f>
        <v>-</v>
      </c>
      <c r="F152" s="142" t="str">
        <f>IF('Regional data'!H92&gt;0,'Regional data'!H92*Prod_CR*Size_dist_SQ_CR/(NB_SQ_CR*'Regional data'!E92),"-")</f>
        <v>-</v>
      </c>
      <c r="G152" s="195" t="str">
        <f t="shared" si="36"/>
        <v>-</v>
      </c>
      <c r="H152" s="196" t="str">
        <f t="shared" si="37"/>
        <v>-</v>
      </c>
      <c r="I152" s="198" t="str">
        <f t="shared" si="38"/>
        <v>-</v>
      </c>
      <c r="J152" s="191" t="str">
        <f t="shared" si="39"/>
        <v>-</v>
      </c>
      <c r="K152" s="142" t="str">
        <f t="shared" si="40"/>
        <v>-</v>
      </c>
      <c r="L152" s="192" t="str">
        <f t="shared" si="41"/>
        <v>-</v>
      </c>
      <c r="M152" s="142" t="str">
        <f>IF(J152="-","-",J152*NB_LQ_CR*'Regional data'!C92)</f>
        <v>-</v>
      </c>
      <c r="N152" s="142" t="str">
        <f>IF(K152="-","-",K152*NB_MQ_CR*'Regional data'!D92)</f>
        <v>-</v>
      </c>
      <c r="O152" s="142" t="str">
        <f>IF(L152="-","-",L152*NB_SQ_CR*'Regional data'!E92)</f>
        <v>-</v>
      </c>
      <c r="P152" s="141" t="str">
        <f>IF('Regional data'!L92&gt;0,'Regional data'!L92*Prod_CR*Size_dist_LQ_SG/(NB_LQ_SG*'Regional data'!I92),"-")</f>
        <v>-</v>
      </c>
      <c r="Q152" s="142" t="str">
        <f>IF('Regional data'!M92&gt;0,'Regional data'!M92*Prod_SG*Size_dist_MQ_SG/(NB_MQ_SG*'Regional data'!J92),"-")</f>
        <v>-</v>
      </c>
      <c r="R152" s="142" t="str">
        <f>IF('Regional data'!N92&gt;0,'Regional data'!N92*Prod_SG*Size_dist_SQ_SG/(NB_SQ_SG*'Regional data'!K92),"-")</f>
        <v>-</v>
      </c>
      <c r="S152" s="195" t="str">
        <f t="shared" si="42"/>
        <v>-</v>
      </c>
      <c r="T152" s="196" t="str">
        <f t="shared" si="43"/>
        <v>-</v>
      </c>
      <c r="U152" s="198" t="str">
        <f t="shared" si="44"/>
        <v>-</v>
      </c>
      <c r="V152" s="191" t="str">
        <f t="shared" si="45"/>
        <v>-</v>
      </c>
      <c r="W152" s="142" t="str">
        <f t="shared" si="46"/>
        <v>-</v>
      </c>
      <c r="X152" s="192" t="str">
        <f t="shared" si="47"/>
        <v>-</v>
      </c>
      <c r="Y152" s="191" t="str">
        <f>IF(V152="-","-",V152*NB_LQ_SG*'Regional data'!I92)</f>
        <v>-</v>
      </c>
      <c r="Z152" s="142" t="str">
        <f>IF(W152="-","-",W152*NB_MQ_SG*'Regional data'!J92)</f>
        <v>-</v>
      </c>
      <c r="AA152" s="192" t="str">
        <f>IF(X152="-","-",X152*NB_SQ_SG*'Regional data'!K92)</f>
        <v>-</v>
      </c>
      <c r="AB152" s="141" t="str">
        <f>IF('Regional data'!R92&gt;0,'Regional data'!R92*Prod_RA*Size_dist_LQ_RA/(NB_LQ_RA*'Regional data'!O92),"-")</f>
        <v>-</v>
      </c>
      <c r="AC152" s="142" t="str">
        <f>IF('Regional data'!S92&gt;0,'Regional data'!S92*Prod_RA*Size_dist_MQ_RA/(NB_MQ_RA*'Regional data'!P92),"-")</f>
        <v>-</v>
      </c>
      <c r="AD152" s="142" t="str">
        <f>IF('Regional data'!T92&gt;0,'Regional data'!T92*Prod_RA*Size_dist_SQ_RA/(NB_SQ_RA*'Regional data'!Q92),"-")</f>
        <v>-</v>
      </c>
      <c r="AE152" s="195" t="str">
        <f t="shared" si="48"/>
        <v>-</v>
      </c>
      <c r="AF152" s="196" t="str">
        <f t="shared" si="49"/>
        <v>-</v>
      </c>
      <c r="AG152" s="198" t="str">
        <f t="shared" si="50"/>
        <v>-</v>
      </c>
      <c r="AH152" s="191" t="str">
        <f t="shared" si="51"/>
        <v>-</v>
      </c>
      <c r="AI152" s="142" t="str">
        <f t="shared" si="52"/>
        <v>-</v>
      </c>
      <c r="AJ152" s="192" t="str">
        <f t="shared" si="53"/>
        <v>-</v>
      </c>
      <c r="AK152" s="82" t="str">
        <f>IF(AH152="-","-",AH152*NB_LQ_RA*'Regional data'!O92)</f>
        <v>-</v>
      </c>
      <c r="AL152" s="142" t="str">
        <f>IF(AI152="-","-",AI152*NB_MQ_RA*'Regional data'!P92)</f>
        <v>-</v>
      </c>
      <c r="AM152" s="134" t="str">
        <f>IF(AJ152="-","-",AJ152*NB_SQ_RA*'Regional data'!Q92)</f>
        <v>-</v>
      </c>
    </row>
    <row r="153" spans="2:40" x14ac:dyDescent="0.25">
      <c r="B153" s="80">
        <f>'Regional data'!B93</f>
        <v>0</v>
      </c>
      <c r="C153" s="85">
        <f>Coeff_wind_Erosion_CR*(365*(365-'Regional data'!V93)/235)*('Regional data'!W93/365*100/15)*1000</f>
        <v>0</v>
      </c>
      <c r="D153" s="142" t="str">
        <f>IF('Regional data'!F93&gt;0,'Regional data'!F93*Prod_CR*Size_dist_LQ_CR/(NB_LQ_CR*'Regional data'!C93),"-")</f>
        <v>-</v>
      </c>
      <c r="E153" s="142" t="str">
        <f>IF('Regional data'!G93&gt;0,'Regional data'!G93*Prod_CR*Size_dist_MQ_CR/(NB_MQ_CR*'Regional data'!D93),"-")</f>
        <v>-</v>
      </c>
      <c r="F153" s="142" t="str">
        <f>IF('Regional data'!H93&gt;0,'Regional data'!H93*Prod_CR*Size_dist_SQ_CR/(NB_SQ_CR*'Regional data'!E93),"-")</f>
        <v>-</v>
      </c>
      <c r="G153" s="195" t="str">
        <f t="shared" si="36"/>
        <v>-</v>
      </c>
      <c r="H153" s="196" t="str">
        <f t="shared" si="37"/>
        <v>-</v>
      </c>
      <c r="I153" s="198" t="str">
        <f t="shared" si="38"/>
        <v>-</v>
      </c>
      <c r="J153" s="191" t="str">
        <f t="shared" si="39"/>
        <v>-</v>
      </c>
      <c r="K153" s="142" t="str">
        <f t="shared" si="40"/>
        <v>-</v>
      </c>
      <c r="L153" s="192" t="str">
        <f t="shared" si="41"/>
        <v>-</v>
      </c>
      <c r="M153" s="142" t="str">
        <f>IF(J153="-","-",J153*NB_LQ_CR*'Regional data'!C93)</f>
        <v>-</v>
      </c>
      <c r="N153" s="142" t="str">
        <f>IF(K153="-","-",K153*NB_MQ_CR*'Regional data'!D93)</f>
        <v>-</v>
      </c>
      <c r="O153" s="142" t="str">
        <f>IF(L153="-","-",L153*NB_SQ_CR*'Regional data'!E93)</f>
        <v>-</v>
      </c>
      <c r="P153" s="141" t="str">
        <f>IF('Regional data'!L93&gt;0,'Regional data'!L93*Prod_CR*Size_dist_LQ_SG/(NB_LQ_SG*'Regional data'!I93),"-")</f>
        <v>-</v>
      </c>
      <c r="Q153" s="142" t="str">
        <f>IF('Regional data'!M93&gt;0,'Regional data'!M93*Prod_SG*Size_dist_MQ_SG/(NB_MQ_SG*'Regional data'!J93),"-")</f>
        <v>-</v>
      </c>
      <c r="R153" s="142" t="str">
        <f>IF('Regional data'!N93&gt;0,'Regional data'!N93*Prod_SG*Size_dist_SQ_SG/(NB_SQ_SG*'Regional data'!K93),"-")</f>
        <v>-</v>
      </c>
      <c r="S153" s="195" t="str">
        <f t="shared" si="42"/>
        <v>-</v>
      </c>
      <c r="T153" s="196" t="str">
        <f t="shared" si="43"/>
        <v>-</v>
      </c>
      <c r="U153" s="198" t="str">
        <f t="shared" si="44"/>
        <v>-</v>
      </c>
      <c r="V153" s="191" t="str">
        <f t="shared" si="45"/>
        <v>-</v>
      </c>
      <c r="W153" s="142" t="str">
        <f t="shared" si="46"/>
        <v>-</v>
      </c>
      <c r="X153" s="192" t="str">
        <f t="shared" si="47"/>
        <v>-</v>
      </c>
      <c r="Y153" s="191" t="str">
        <f>IF(V153="-","-",V153*NB_LQ_SG*'Regional data'!I93)</f>
        <v>-</v>
      </c>
      <c r="Z153" s="142" t="str">
        <f>IF(W153="-","-",W153*NB_MQ_SG*'Regional data'!J93)</f>
        <v>-</v>
      </c>
      <c r="AA153" s="192" t="str">
        <f>IF(X153="-","-",X153*NB_SQ_SG*'Regional data'!K93)</f>
        <v>-</v>
      </c>
      <c r="AB153" s="141" t="str">
        <f>IF('Regional data'!R93&gt;0,'Regional data'!R93*Prod_RA*Size_dist_LQ_RA/(NB_LQ_RA*'Regional data'!O93),"-")</f>
        <v>-</v>
      </c>
      <c r="AC153" s="142" t="str">
        <f>IF('Regional data'!S93&gt;0,'Regional data'!S93*Prod_RA*Size_dist_MQ_RA/(NB_MQ_RA*'Regional data'!P93),"-")</f>
        <v>-</v>
      </c>
      <c r="AD153" s="142" t="str">
        <f>IF('Regional data'!T93&gt;0,'Regional data'!T93*Prod_RA*Size_dist_SQ_RA/(NB_SQ_RA*'Regional data'!Q93),"-")</f>
        <v>-</v>
      </c>
      <c r="AE153" s="195" t="str">
        <f t="shared" si="48"/>
        <v>-</v>
      </c>
      <c r="AF153" s="196" t="str">
        <f t="shared" si="49"/>
        <v>-</v>
      </c>
      <c r="AG153" s="198" t="str">
        <f t="shared" si="50"/>
        <v>-</v>
      </c>
      <c r="AH153" s="191" t="str">
        <f t="shared" si="51"/>
        <v>-</v>
      </c>
      <c r="AI153" s="142" t="str">
        <f t="shared" si="52"/>
        <v>-</v>
      </c>
      <c r="AJ153" s="192" t="str">
        <f t="shared" si="53"/>
        <v>-</v>
      </c>
      <c r="AK153" s="82" t="str">
        <f>IF(AH153="-","-",AH153*NB_LQ_RA*'Regional data'!O93)</f>
        <v>-</v>
      </c>
      <c r="AL153" s="142" t="str">
        <f>IF(AI153="-","-",AI153*NB_MQ_RA*'Regional data'!P93)</f>
        <v>-</v>
      </c>
      <c r="AM153" s="134" t="str">
        <f>IF(AJ153="-","-",AJ153*NB_SQ_RA*'Regional data'!Q93)</f>
        <v>-</v>
      </c>
    </row>
    <row r="154" spans="2:40" x14ac:dyDescent="0.25">
      <c r="B154" s="80">
        <f>'Regional data'!B94</f>
        <v>0</v>
      </c>
      <c r="C154" s="85">
        <f>Coeff_wind_Erosion_CR*(365*(365-'Regional data'!V94)/235)*('Regional data'!W94/365*100/15)*1000</f>
        <v>0</v>
      </c>
      <c r="D154" s="142" t="str">
        <f>IF('Regional data'!F94&gt;0,'Regional data'!F94*Prod_CR*Size_dist_LQ_CR/(NB_LQ_CR*'Regional data'!C94),"-")</f>
        <v>-</v>
      </c>
      <c r="E154" s="142" t="str">
        <f>IF('Regional data'!G94&gt;0,'Regional data'!G94*Prod_CR*Size_dist_MQ_CR/(NB_MQ_CR*'Regional data'!D94),"-")</f>
        <v>-</v>
      </c>
      <c r="F154" s="142" t="str">
        <f>IF('Regional data'!H94&gt;0,'Regional data'!H94*Prod_CR*Size_dist_SQ_CR/(NB_SQ_CR*'Regional data'!E94),"-")</f>
        <v>-</v>
      </c>
      <c r="G154" s="195" t="str">
        <f t="shared" si="36"/>
        <v>-</v>
      </c>
      <c r="H154" s="196" t="str">
        <f t="shared" si="37"/>
        <v>-</v>
      </c>
      <c r="I154" s="198" t="str">
        <f t="shared" si="38"/>
        <v>-</v>
      </c>
      <c r="J154" s="191" t="str">
        <f t="shared" si="39"/>
        <v>-</v>
      </c>
      <c r="K154" s="142" t="str">
        <f t="shared" si="40"/>
        <v>-</v>
      </c>
      <c r="L154" s="192" t="str">
        <f t="shared" si="41"/>
        <v>-</v>
      </c>
      <c r="M154" s="142" t="str">
        <f>IF(J154="-","-",J154*NB_LQ_CR*'Regional data'!C94)</f>
        <v>-</v>
      </c>
      <c r="N154" s="142" t="str">
        <f>IF(K154="-","-",K154*NB_MQ_CR*'Regional data'!D94)</f>
        <v>-</v>
      </c>
      <c r="O154" s="142" t="str">
        <f>IF(L154="-","-",L154*NB_SQ_CR*'Regional data'!E94)</f>
        <v>-</v>
      </c>
      <c r="P154" s="141" t="str">
        <f>IF('Regional data'!L94&gt;0,'Regional data'!L94*Prod_CR*Size_dist_LQ_SG/(NB_LQ_SG*'Regional data'!I94),"-")</f>
        <v>-</v>
      </c>
      <c r="Q154" s="142" t="str">
        <f>IF('Regional data'!M94&gt;0,'Regional data'!M94*Prod_SG*Size_dist_MQ_SG/(NB_MQ_SG*'Regional data'!J94),"-")</f>
        <v>-</v>
      </c>
      <c r="R154" s="142" t="str">
        <f>IF('Regional data'!N94&gt;0,'Regional data'!N94*Prod_SG*Size_dist_SQ_SG/(NB_SQ_SG*'Regional data'!K94),"-")</f>
        <v>-</v>
      </c>
      <c r="S154" s="195" t="str">
        <f t="shared" si="42"/>
        <v>-</v>
      </c>
      <c r="T154" s="196" t="str">
        <f t="shared" si="43"/>
        <v>-</v>
      </c>
      <c r="U154" s="198" t="str">
        <f t="shared" si="44"/>
        <v>-</v>
      </c>
      <c r="V154" s="191" t="str">
        <f t="shared" si="45"/>
        <v>-</v>
      </c>
      <c r="W154" s="142" t="str">
        <f t="shared" si="46"/>
        <v>-</v>
      </c>
      <c r="X154" s="192" t="str">
        <f t="shared" si="47"/>
        <v>-</v>
      </c>
      <c r="Y154" s="191" t="str">
        <f>IF(V154="-","-",V154*NB_LQ_SG*'Regional data'!I94)</f>
        <v>-</v>
      </c>
      <c r="Z154" s="142" t="str">
        <f>IF(W154="-","-",W154*NB_MQ_SG*'Regional data'!J94)</f>
        <v>-</v>
      </c>
      <c r="AA154" s="192" t="str">
        <f>IF(X154="-","-",X154*NB_SQ_SG*'Regional data'!K94)</f>
        <v>-</v>
      </c>
      <c r="AB154" s="141" t="str">
        <f>IF('Regional data'!R94&gt;0,'Regional data'!R94*Prod_RA*Size_dist_LQ_RA/(NB_LQ_RA*'Regional data'!O94),"-")</f>
        <v>-</v>
      </c>
      <c r="AC154" s="142" t="str">
        <f>IF('Regional data'!S94&gt;0,'Regional data'!S94*Prod_RA*Size_dist_MQ_RA/(NB_MQ_RA*'Regional data'!P94),"-")</f>
        <v>-</v>
      </c>
      <c r="AD154" s="142" t="str">
        <f>IF('Regional data'!T94&gt;0,'Regional data'!T94*Prod_RA*Size_dist_SQ_RA/(NB_SQ_RA*'Regional data'!Q94),"-")</f>
        <v>-</v>
      </c>
      <c r="AE154" s="195" t="str">
        <f t="shared" si="48"/>
        <v>-</v>
      </c>
      <c r="AF154" s="196" t="str">
        <f t="shared" si="49"/>
        <v>-</v>
      </c>
      <c r="AG154" s="198" t="str">
        <f t="shared" si="50"/>
        <v>-</v>
      </c>
      <c r="AH154" s="191" t="str">
        <f t="shared" si="51"/>
        <v>-</v>
      </c>
      <c r="AI154" s="142" t="str">
        <f t="shared" si="52"/>
        <v>-</v>
      </c>
      <c r="AJ154" s="192" t="str">
        <f t="shared" si="53"/>
        <v>-</v>
      </c>
      <c r="AK154" s="82" t="str">
        <f>IF(AH154="-","-",AH154*NB_LQ_RA*'Regional data'!O94)</f>
        <v>-</v>
      </c>
      <c r="AL154" s="142" t="str">
        <f>IF(AI154="-","-",AI154*NB_MQ_RA*'Regional data'!P94)</f>
        <v>-</v>
      </c>
      <c r="AM154" s="134" t="str">
        <f>IF(AJ154="-","-",AJ154*NB_SQ_RA*'Regional data'!Q94)</f>
        <v>-</v>
      </c>
    </row>
    <row r="155" spans="2:40" x14ac:dyDescent="0.25">
      <c r="B155" s="80">
        <f>'Regional data'!B95</f>
        <v>0</v>
      </c>
      <c r="C155" s="85">
        <f>Coeff_wind_Erosion_CR*(365*(365-'Regional data'!V95)/235)*('Regional data'!W95/365*100/15)*1000</f>
        <v>0</v>
      </c>
      <c r="D155" s="142" t="str">
        <f>IF('Regional data'!F95&gt;0,'Regional data'!F95*Prod_CR*Size_dist_LQ_CR/(NB_LQ_CR*'Regional data'!C95),"-")</f>
        <v>-</v>
      </c>
      <c r="E155" s="142" t="str">
        <f>IF('Regional data'!G95&gt;0,'Regional data'!G95*Prod_CR*Size_dist_MQ_CR/(NB_MQ_CR*'Regional data'!D95),"-")</f>
        <v>-</v>
      </c>
      <c r="F155" s="142" t="str">
        <f>IF('Regional data'!H95&gt;0,'Regional data'!H95*Prod_CR*Size_dist_SQ_CR/(NB_SQ_CR*'Regional data'!E95),"-")</f>
        <v>-</v>
      </c>
      <c r="G155" s="195" t="str">
        <f t="shared" si="36"/>
        <v>-</v>
      </c>
      <c r="H155" s="196" t="str">
        <f t="shared" si="37"/>
        <v>-</v>
      </c>
      <c r="I155" s="198" t="str">
        <f t="shared" si="38"/>
        <v>-</v>
      </c>
      <c r="J155" s="191" t="str">
        <f t="shared" si="39"/>
        <v>-</v>
      </c>
      <c r="K155" s="142" t="str">
        <f t="shared" si="40"/>
        <v>-</v>
      </c>
      <c r="L155" s="192" t="str">
        <f t="shared" si="41"/>
        <v>-</v>
      </c>
      <c r="M155" s="142" t="str">
        <f>IF(J155="-","-",J155*NB_LQ_CR*'Regional data'!C95)</f>
        <v>-</v>
      </c>
      <c r="N155" s="142" t="str">
        <f>IF(K155="-","-",K155*NB_MQ_CR*'Regional data'!D95)</f>
        <v>-</v>
      </c>
      <c r="O155" s="142" t="str">
        <f>IF(L155="-","-",L155*NB_SQ_CR*'Regional data'!E95)</f>
        <v>-</v>
      </c>
      <c r="P155" s="141" t="str">
        <f>IF('Regional data'!L95&gt;0,'Regional data'!L95*Prod_CR*Size_dist_LQ_SG/(NB_LQ_SG*'Regional data'!I95),"-")</f>
        <v>-</v>
      </c>
      <c r="Q155" s="142" t="str">
        <f>IF('Regional data'!M95&gt;0,'Regional data'!M95*Prod_SG*Size_dist_MQ_SG/(NB_MQ_SG*'Regional data'!J95),"-")</f>
        <v>-</v>
      </c>
      <c r="R155" s="142" t="str">
        <f>IF('Regional data'!N95&gt;0,'Regional data'!N95*Prod_SG*Size_dist_SQ_SG/(NB_SQ_SG*'Regional data'!K95),"-")</f>
        <v>-</v>
      </c>
      <c r="S155" s="195" t="str">
        <f t="shared" si="42"/>
        <v>-</v>
      </c>
      <c r="T155" s="196" t="str">
        <f t="shared" si="43"/>
        <v>-</v>
      </c>
      <c r="U155" s="198" t="str">
        <f t="shared" si="44"/>
        <v>-</v>
      </c>
      <c r="V155" s="191" t="str">
        <f t="shared" si="45"/>
        <v>-</v>
      </c>
      <c r="W155" s="142" t="str">
        <f t="shared" si="46"/>
        <v>-</v>
      </c>
      <c r="X155" s="192" t="str">
        <f t="shared" si="47"/>
        <v>-</v>
      </c>
      <c r="Y155" s="191" t="str">
        <f>IF(V155="-","-",V155*NB_LQ_SG*'Regional data'!I95)</f>
        <v>-</v>
      </c>
      <c r="Z155" s="142" t="str">
        <f>IF(W155="-","-",W155*NB_MQ_SG*'Regional data'!J95)</f>
        <v>-</v>
      </c>
      <c r="AA155" s="192" t="str">
        <f>IF(X155="-","-",X155*NB_SQ_SG*'Regional data'!K95)</f>
        <v>-</v>
      </c>
      <c r="AB155" s="141" t="str">
        <f>IF('Regional data'!R95&gt;0,'Regional data'!R95*Prod_RA*Size_dist_LQ_RA/(NB_LQ_RA*'Regional data'!O95),"-")</f>
        <v>-</v>
      </c>
      <c r="AC155" s="142" t="str">
        <f>IF('Regional data'!S95&gt;0,'Regional data'!S95*Prod_RA*Size_dist_MQ_RA/(NB_MQ_RA*'Regional data'!P95),"-")</f>
        <v>-</v>
      </c>
      <c r="AD155" s="142" t="str">
        <f>IF('Regional data'!T95&gt;0,'Regional data'!T95*Prod_RA*Size_dist_SQ_RA/(NB_SQ_RA*'Regional data'!Q95),"-")</f>
        <v>-</v>
      </c>
      <c r="AE155" s="195" t="str">
        <f t="shared" si="48"/>
        <v>-</v>
      </c>
      <c r="AF155" s="196" t="str">
        <f t="shared" si="49"/>
        <v>-</v>
      </c>
      <c r="AG155" s="198" t="str">
        <f t="shared" si="50"/>
        <v>-</v>
      </c>
      <c r="AH155" s="191" t="str">
        <f t="shared" si="51"/>
        <v>-</v>
      </c>
      <c r="AI155" s="142" t="str">
        <f t="shared" si="52"/>
        <v>-</v>
      </c>
      <c r="AJ155" s="192" t="str">
        <f t="shared" si="53"/>
        <v>-</v>
      </c>
      <c r="AK155" s="82" t="str">
        <f>IF(AH155="-","-",AH155*NB_LQ_RA*'Regional data'!O95)</f>
        <v>-</v>
      </c>
      <c r="AL155" s="142" t="str">
        <f>IF(AI155="-","-",AI155*NB_MQ_RA*'Regional data'!P95)</f>
        <v>-</v>
      </c>
      <c r="AM155" s="134" t="str">
        <f>IF(AJ155="-","-",AJ155*NB_SQ_RA*'Regional data'!Q95)</f>
        <v>-</v>
      </c>
    </row>
    <row r="156" spans="2:40" x14ac:dyDescent="0.25">
      <c r="B156" s="80">
        <f>'Regional data'!B96</f>
        <v>0</v>
      </c>
      <c r="C156" s="85">
        <f>Coeff_wind_Erosion_CR*(365*(365-'Regional data'!V96)/235)*('Regional data'!W96/365*100/15)*1000</f>
        <v>0</v>
      </c>
      <c r="D156" s="142" t="str">
        <f>IF('Regional data'!F96&gt;0,'Regional data'!F96*Prod_CR*Size_dist_LQ_CR/(NB_LQ_CR*'Regional data'!C96),"-")</f>
        <v>-</v>
      </c>
      <c r="E156" s="142" t="str">
        <f>IF('Regional data'!G96&gt;0,'Regional data'!G96*Prod_CR*Size_dist_MQ_CR/(NB_MQ_CR*'Regional data'!D96),"-")</f>
        <v>-</v>
      </c>
      <c r="F156" s="142" t="str">
        <f>IF('Regional data'!H96&gt;0,'Regional data'!H96*Prod_CR*Size_dist_SQ_CR/(NB_SQ_CR*'Regional data'!E96),"-")</f>
        <v>-</v>
      </c>
      <c r="G156" s="195" t="str">
        <f t="shared" si="36"/>
        <v>-</v>
      </c>
      <c r="H156" s="196" t="str">
        <f t="shared" si="37"/>
        <v>-</v>
      </c>
      <c r="I156" s="198" t="str">
        <f t="shared" si="38"/>
        <v>-</v>
      </c>
      <c r="J156" s="191" t="str">
        <f t="shared" si="39"/>
        <v>-</v>
      </c>
      <c r="K156" s="142" t="str">
        <f t="shared" si="40"/>
        <v>-</v>
      </c>
      <c r="L156" s="192" t="str">
        <f t="shared" si="41"/>
        <v>-</v>
      </c>
      <c r="M156" s="142" t="str">
        <f>IF(J156="-","-",J156*NB_LQ_CR*'Regional data'!C96)</f>
        <v>-</v>
      </c>
      <c r="N156" s="142" t="str">
        <f>IF(K156="-","-",K156*NB_MQ_CR*'Regional data'!D96)</f>
        <v>-</v>
      </c>
      <c r="O156" s="142" t="str">
        <f>IF(L156="-","-",L156*NB_SQ_CR*'Regional data'!E96)</f>
        <v>-</v>
      </c>
      <c r="P156" s="141" t="str">
        <f>IF('Regional data'!L96&gt;0,'Regional data'!L96*Prod_CR*Size_dist_LQ_SG/(NB_LQ_SG*'Regional data'!I96),"-")</f>
        <v>-</v>
      </c>
      <c r="Q156" s="142" t="str">
        <f>IF('Regional data'!M96&gt;0,'Regional data'!M96*Prod_SG*Size_dist_MQ_SG/(NB_MQ_SG*'Regional data'!J96),"-")</f>
        <v>-</v>
      </c>
      <c r="R156" s="142" t="str">
        <f>IF('Regional data'!N96&gt;0,'Regional data'!N96*Prod_SG*Size_dist_SQ_SG/(NB_SQ_SG*'Regional data'!K96),"-")</f>
        <v>-</v>
      </c>
      <c r="S156" s="195" t="str">
        <f t="shared" si="42"/>
        <v>-</v>
      </c>
      <c r="T156" s="196" t="str">
        <f t="shared" si="43"/>
        <v>-</v>
      </c>
      <c r="U156" s="198" t="str">
        <f t="shared" si="44"/>
        <v>-</v>
      </c>
      <c r="V156" s="191" t="str">
        <f t="shared" si="45"/>
        <v>-</v>
      </c>
      <c r="W156" s="142" t="str">
        <f t="shared" si="46"/>
        <v>-</v>
      </c>
      <c r="X156" s="192" t="str">
        <f t="shared" si="47"/>
        <v>-</v>
      </c>
      <c r="Y156" s="191" t="str">
        <f>IF(V156="-","-",V156*NB_LQ_SG*'Regional data'!I96)</f>
        <v>-</v>
      </c>
      <c r="Z156" s="142" t="str">
        <f>IF(W156="-","-",W156*NB_MQ_SG*'Regional data'!J96)</f>
        <v>-</v>
      </c>
      <c r="AA156" s="192" t="str">
        <f>IF(X156="-","-",X156*NB_SQ_SG*'Regional data'!K96)</f>
        <v>-</v>
      </c>
      <c r="AB156" s="141" t="str">
        <f>IF('Regional data'!R96&gt;0,'Regional data'!R96*Prod_RA*Size_dist_LQ_RA/(NB_LQ_RA*'Regional data'!O96),"-")</f>
        <v>-</v>
      </c>
      <c r="AC156" s="142" t="str">
        <f>IF('Regional data'!S96&gt;0,'Regional data'!S96*Prod_RA*Size_dist_MQ_RA/(NB_MQ_RA*'Regional data'!P96),"-")</f>
        <v>-</v>
      </c>
      <c r="AD156" s="142" t="str">
        <f>IF('Regional data'!T96&gt;0,'Regional data'!T96*Prod_RA*Size_dist_SQ_RA/(NB_SQ_RA*'Regional data'!Q96),"-")</f>
        <v>-</v>
      </c>
      <c r="AE156" s="195" t="str">
        <f t="shared" si="48"/>
        <v>-</v>
      </c>
      <c r="AF156" s="196" t="str">
        <f t="shared" si="49"/>
        <v>-</v>
      </c>
      <c r="AG156" s="198" t="str">
        <f t="shared" si="50"/>
        <v>-</v>
      </c>
      <c r="AH156" s="191" t="str">
        <f t="shared" si="51"/>
        <v>-</v>
      </c>
      <c r="AI156" s="142" t="str">
        <f t="shared" si="52"/>
        <v>-</v>
      </c>
      <c r="AJ156" s="192" t="str">
        <f t="shared" si="53"/>
        <v>-</v>
      </c>
      <c r="AK156" s="82" t="str">
        <f>IF(AH156="-","-",AH156*NB_LQ_RA*'Regional data'!O96)</f>
        <v>-</v>
      </c>
      <c r="AL156" s="142" t="str">
        <f>IF(AI156="-","-",AI156*NB_MQ_RA*'Regional data'!P96)</f>
        <v>-</v>
      </c>
      <c r="AM156" s="134" t="str">
        <f>IF(AJ156="-","-",AJ156*NB_SQ_RA*'Regional data'!Q96)</f>
        <v>-</v>
      </c>
    </row>
    <row r="157" spans="2:40" x14ac:dyDescent="0.25">
      <c r="B157" s="80">
        <f>'Regional data'!B97</f>
        <v>0</v>
      </c>
      <c r="C157" s="85">
        <f>Coeff_wind_Erosion_CR*(365*(365-'Regional data'!V97)/235)*('Regional data'!W97/365*100/15)*1000</f>
        <v>0</v>
      </c>
      <c r="D157" s="142" t="str">
        <f>IF('Regional data'!F97&gt;0,'Regional data'!F97*Prod_CR*Size_dist_LQ_CR/(NB_LQ_CR*'Regional data'!C97),"-")</f>
        <v>-</v>
      </c>
      <c r="E157" s="142" t="str">
        <f>IF('Regional data'!G97&gt;0,'Regional data'!G97*Prod_CR*Size_dist_MQ_CR/(NB_MQ_CR*'Regional data'!D97),"-")</f>
        <v>-</v>
      </c>
      <c r="F157" s="142" t="str">
        <f>IF('Regional data'!H97&gt;0,'Regional data'!H97*Prod_CR*Size_dist_SQ_CR/(NB_SQ_CR*'Regional data'!E97),"-")</f>
        <v>-</v>
      </c>
      <c r="G157" s="195" t="str">
        <f t="shared" si="36"/>
        <v>-</v>
      </c>
      <c r="H157" s="196" t="str">
        <f t="shared" si="37"/>
        <v>-</v>
      </c>
      <c r="I157" s="198" t="str">
        <f t="shared" si="38"/>
        <v>-</v>
      </c>
      <c r="J157" s="191" t="str">
        <f t="shared" si="39"/>
        <v>-</v>
      </c>
      <c r="K157" s="142" t="str">
        <f t="shared" si="40"/>
        <v>-</v>
      </c>
      <c r="L157" s="192" t="str">
        <f t="shared" si="41"/>
        <v>-</v>
      </c>
      <c r="M157" s="142" t="str">
        <f>IF(J157="-","-",J157*NB_LQ_CR*'Regional data'!C97)</f>
        <v>-</v>
      </c>
      <c r="N157" s="142" t="str">
        <f>IF(K157="-","-",K157*NB_MQ_CR*'Regional data'!D97)</f>
        <v>-</v>
      </c>
      <c r="O157" s="142" t="str">
        <f>IF(L157="-","-",L157*NB_SQ_CR*'Regional data'!E97)</f>
        <v>-</v>
      </c>
      <c r="P157" s="141" t="str">
        <f>IF('Regional data'!L97&gt;0,'Regional data'!L97*Prod_CR*Size_dist_LQ_SG/(NB_LQ_SG*'Regional data'!I97),"-")</f>
        <v>-</v>
      </c>
      <c r="Q157" s="142" t="str">
        <f>IF('Regional data'!M97&gt;0,'Regional data'!M97*Prod_SG*Size_dist_MQ_SG/(NB_MQ_SG*'Regional data'!J97),"-")</f>
        <v>-</v>
      </c>
      <c r="R157" s="142" t="str">
        <f>IF('Regional data'!N97&gt;0,'Regional data'!N97*Prod_SG*Size_dist_SQ_SG/(NB_SQ_SG*'Regional data'!K97),"-")</f>
        <v>-</v>
      </c>
      <c r="S157" s="195" t="str">
        <f t="shared" si="42"/>
        <v>-</v>
      </c>
      <c r="T157" s="196" t="str">
        <f t="shared" si="43"/>
        <v>-</v>
      </c>
      <c r="U157" s="198" t="str">
        <f t="shared" si="44"/>
        <v>-</v>
      </c>
      <c r="V157" s="191" t="str">
        <f t="shared" si="45"/>
        <v>-</v>
      </c>
      <c r="W157" s="142" t="str">
        <f t="shared" si="46"/>
        <v>-</v>
      </c>
      <c r="X157" s="192" t="str">
        <f t="shared" si="47"/>
        <v>-</v>
      </c>
      <c r="Y157" s="191" t="str">
        <f>IF(V157="-","-",V157*NB_LQ_SG*'Regional data'!I97)</f>
        <v>-</v>
      </c>
      <c r="Z157" s="142" t="str">
        <f>IF(W157="-","-",W157*NB_MQ_SG*'Regional data'!J97)</f>
        <v>-</v>
      </c>
      <c r="AA157" s="192" t="str">
        <f>IF(X157="-","-",X157*NB_SQ_SG*'Regional data'!K97)</f>
        <v>-</v>
      </c>
      <c r="AB157" s="141" t="str">
        <f>IF('Regional data'!R97&gt;0,'Regional data'!R97*Prod_RA*Size_dist_LQ_RA/(NB_LQ_RA*'Regional data'!O97),"-")</f>
        <v>-</v>
      </c>
      <c r="AC157" s="142" t="str">
        <f>IF('Regional data'!S97&gt;0,'Regional data'!S97*Prod_RA*Size_dist_MQ_RA/(NB_MQ_RA*'Regional data'!P97),"-")</f>
        <v>-</v>
      </c>
      <c r="AD157" s="142" t="str">
        <f>IF('Regional data'!T97&gt;0,'Regional data'!T97*Prod_RA*Size_dist_SQ_RA/(NB_SQ_RA*'Regional data'!Q97),"-")</f>
        <v>-</v>
      </c>
      <c r="AE157" s="195" t="str">
        <f t="shared" si="48"/>
        <v>-</v>
      </c>
      <c r="AF157" s="196" t="str">
        <f t="shared" si="49"/>
        <v>-</v>
      </c>
      <c r="AG157" s="198" t="str">
        <f t="shared" si="50"/>
        <v>-</v>
      </c>
      <c r="AH157" s="191" t="str">
        <f t="shared" si="51"/>
        <v>-</v>
      </c>
      <c r="AI157" s="142" t="str">
        <f t="shared" si="52"/>
        <v>-</v>
      </c>
      <c r="AJ157" s="192" t="str">
        <f t="shared" si="53"/>
        <v>-</v>
      </c>
      <c r="AK157" s="82" t="str">
        <f>IF(AH157="-","-",AH157*NB_LQ_RA*'Regional data'!O97)</f>
        <v>-</v>
      </c>
      <c r="AL157" s="142" t="str">
        <f>IF(AI157="-","-",AI157*NB_MQ_RA*'Regional data'!P97)</f>
        <v>-</v>
      </c>
      <c r="AM157" s="134" t="str">
        <f>IF(AJ157="-","-",AJ157*NB_SQ_RA*'Regional data'!Q97)</f>
        <v>-</v>
      </c>
    </row>
    <row r="158" spans="2:40" ht="15.75" thickBot="1" x14ac:dyDescent="0.3">
      <c r="B158" s="81">
        <f>'Regional data'!B98</f>
        <v>0</v>
      </c>
      <c r="C158" s="86">
        <f>Coeff_wind_Erosion_CR*(365*(365-'Regional data'!V98)/235)*('Regional data'!W98/365*100/15)*1000</f>
        <v>0</v>
      </c>
      <c r="D158" s="144" t="str">
        <f>IF('Regional data'!F98&gt;0,'Regional data'!F98*Prod_CR*Size_dist_LQ_CR/(NB_LQ_CR*'Regional data'!C98),"-")</f>
        <v>-</v>
      </c>
      <c r="E158" s="144" t="str">
        <f>IF('Regional data'!G98&gt;0,'Regional data'!G98*Prod_CR*Size_dist_MQ_CR/(NB_MQ_CR*'Regional data'!D98),"-")</f>
        <v>-</v>
      </c>
      <c r="F158" s="140" t="str">
        <f>IF('Regional data'!H98&gt;0,'Regional data'!H98*Prod_CR*Size_dist_SQ_CR/(NB_SQ_CR*'Regional data'!E98),"-")</f>
        <v>-</v>
      </c>
      <c r="G158" s="199" t="str">
        <f t="shared" si="36"/>
        <v>-</v>
      </c>
      <c r="H158" s="199" t="str">
        <f t="shared" si="37"/>
        <v>-</v>
      </c>
      <c r="I158" s="144" t="str">
        <f t="shared" si="38"/>
        <v>-</v>
      </c>
      <c r="J158" s="190" t="str">
        <f t="shared" si="39"/>
        <v>-</v>
      </c>
      <c r="K158" s="144" t="str">
        <f t="shared" si="40"/>
        <v>-</v>
      </c>
      <c r="L158" s="144" t="str">
        <f t="shared" si="41"/>
        <v>-</v>
      </c>
      <c r="M158" s="190" t="str">
        <f>IF(J158="-","-",J158*NB_LQ_CR*'Regional data'!C98)</f>
        <v>-</v>
      </c>
      <c r="N158" s="144" t="str">
        <f>IF(K158="-","-",K158*NB_MQ_CR*'Regional data'!D98)</f>
        <v>-</v>
      </c>
      <c r="O158" s="144" t="str">
        <f>IF(L158="-","-",L158*NB_SQ_CR*'Regional data'!E98)</f>
        <v>-</v>
      </c>
      <c r="P158" s="143" t="str">
        <f>IF('Regional data'!L98&gt;0,'Regional data'!L98*Prod_CR*Size_dist_LQ_SG/(NB_LQ_SG*'Regional data'!I98),"-")</f>
        <v>-</v>
      </c>
      <c r="Q158" s="144" t="str">
        <f>IF('Regional data'!M98&gt;0,'Regional data'!M98*Prod_SG*Size_dist_MQ_SG/(NB_MQ_SG*'Regional data'!J98),"-")</f>
        <v>-</v>
      </c>
      <c r="R158" s="144" t="str">
        <f>IF('Regional data'!N98&gt;0,'Regional data'!N98*Prod_SG*Size_dist_SQ_SG/(NB_SQ_SG*'Regional data'!K98),"-")</f>
        <v>-</v>
      </c>
      <c r="S158" s="199" t="str">
        <f t="shared" si="42"/>
        <v>-</v>
      </c>
      <c r="T158" s="199" t="str">
        <f t="shared" si="43"/>
        <v>-</v>
      </c>
      <c r="U158" s="144" t="str">
        <f t="shared" si="44"/>
        <v>-</v>
      </c>
      <c r="V158" s="190" t="str">
        <f t="shared" si="45"/>
        <v>-</v>
      </c>
      <c r="W158" s="144" t="str">
        <f t="shared" si="46"/>
        <v>-</v>
      </c>
      <c r="X158" s="144" t="str">
        <f t="shared" si="47"/>
        <v>-</v>
      </c>
      <c r="Y158" s="190" t="str">
        <f>IF(V158="-","-",V158*NB_LQ_SG*'Regional data'!I98)</f>
        <v>-</v>
      </c>
      <c r="Z158" s="144" t="str">
        <f>IF(W158="-","-",W158*NB_MQ_SG*'Regional data'!J98)</f>
        <v>-</v>
      </c>
      <c r="AA158" s="144" t="str">
        <f>IF(X158="-","-",X158*NB_SQ_SG*'Regional data'!K98)</f>
        <v>-</v>
      </c>
      <c r="AB158" s="143" t="str">
        <f>IF('Regional data'!R98&gt;0,'Regional data'!R98*Prod_RA*Size_dist_LQ_RA/(NB_LQ_RA*'Regional data'!O98),"-")</f>
        <v>-</v>
      </c>
      <c r="AC158" s="144" t="str">
        <f>IF('Regional data'!S98&gt;0,'Regional data'!S98*Prod_RA*Size_dist_MQ_RA/(NB_MQ_RA*'Regional data'!P98),"-")</f>
        <v>-</v>
      </c>
      <c r="AD158" s="144" t="str">
        <f>IF('Regional data'!T98&gt;0,'Regional data'!T98*Prod_RA*Size_dist_SQ_RA/(NB_SQ_RA*'Regional data'!Q98),"-")</f>
        <v>-</v>
      </c>
      <c r="AE158" s="199" t="str">
        <f t="shared" si="48"/>
        <v>-</v>
      </c>
      <c r="AF158" s="199" t="str">
        <f t="shared" si="49"/>
        <v>-</v>
      </c>
      <c r="AG158" s="144" t="str">
        <f t="shared" si="50"/>
        <v>-</v>
      </c>
      <c r="AH158" s="190" t="str">
        <f t="shared" si="51"/>
        <v>-</v>
      </c>
      <c r="AI158" s="144" t="str">
        <f t="shared" si="52"/>
        <v>-</v>
      </c>
      <c r="AJ158" s="144" t="str">
        <f t="shared" si="53"/>
        <v>-</v>
      </c>
      <c r="AK158" s="190" t="str">
        <f>IF(AH158="-","-",AH158*NB_LQ_RA*'Regional data'!O98)</f>
        <v>-</v>
      </c>
      <c r="AL158" s="144" t="str">
        <f>IF(AI158="-","-",AI158*NB_MQ_RA*'Regional data'!P98)</f>
        <v>-</v>
      </c>
      <c r="AM158" s="144" t="str">
        <f>IF(AJ158="-","-",AJ158*NB_SQ_RA*'Regional data'!Q98)</f>
        <v>-</v>
      </c>
    </row>
    <row r="159" spans="2:40" ht="15.75" thickTop="1" x14ac:dyDescent="0.25">
      <c r="AM159" s="50"/>
      <c r="AN159" s="52"/>
    </row>
  </sheetData>
  <mergeCells count="10">
    <mergeCell ref="A1:G1"/>
    <mergeCell ref="AB61:AM61"/>
    <mergeCell ref="B50:E50"/>
    <mergeCell ref="B4:G29"/>
    <mergeCell ref="B32:E32"/>
    <mergeCell ref="B41:E41"/>
    <mergeCell ref="D61:O61"/>
    <mergeCell ref="P61:AA61"/>
    <mergeCell ref="A30:G30"/>
    <mergeCell ref="A59:U59"/>
  </mergeCells>
  <pageMargins left="0.7" right="0.7" top="0.75" bottom="0.75" header="0.3" footer="0.3"/>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FF99CC"/>
  </sheetPr>
  <dimension ref="A1:AA70"/>
  <sheetViews>
    <sheetView view="pageBreakPreview" zoomScaleNormal="100" zoomScaleSheetLayoutView="100" workbookViewId="0">
      <selection activeCell="A2" sqref="A2:P2"/>
    </sheetView>
  </sheetViews>
  <sheetFormatPr baseColWidth="10" defaultRowHeight="15" x14ac:dyDescent="0.25"/>
  <cols>
    <col min="1" max="1" width="6.140625" customWidth="1"/>
    <col min="2" max="2" width="6.42578125" bestFit="1" customWidth="1"/>
    <col min="3" max="3" width="11.42578125" customWidth="1"/>
    <col min="4" max="4" width="18.85546875" bestFit="1" customWidth="1"/>
    <col min="5" max="5" width="1.140625" customWidth="1"/>
    <col min="6" max="6" width="1.42578125" customWidth="1"/>
    <col min="7" max="7" width="6.42578125" bestFit="1" customWidth="1"/>
    <col min="9" max="9" width="18.85546875" bestFit="1" customWidth="1"/>
    <col min="10" max="11" width="1.28515625" customWidth="1"/>
    <col min="12" max="12" width="6.42578125" bestFit="1" customWidth="1"/>
    <col min="14" max="14" width="18.85546875" bestFit="1" customWidth="1"/>
    <col min="15" max="15" width="1" customWidth="1"/>
    <col min="16" max="16" width="6.7109375" customWidth="1"/>
    <col min="17" max="17" width="12.5703125" bestFit="1" customWidth="1"/>
  </cols>
  <sheetData>
    <row r="1" spans="1:24" s="51" customFormat="1" x14ac:dyDescent="0.25">
      <c r="A1" s="254"/>
      <c r="B1" s="254"/>
      <c r="C1" s="254"/>
      <c r="D1" s="254"/>
      <c r="E1" s="254"/>
      <c r="F1" s="254"/>
      <c r="G1" s="254"/>
      <c r="H1" s="254"/>
      <c r="I1" s="254"/>
      <c r="J1" s="254"/>
      <c r="K1" s="254"/>
      <c r="L1" s="254"/>
      <c r="M1" s="254"/>
      <c r="N1" s="254"/>
      <c r="O1" s="254"/>
      <c r="P1" s="254"/>
    </row>
    <row r="2" spans="1:24" x14ac:dyDescent="0.25">
      <c r="A2" s="309" t="s">
        <v>6</v>
      </c>
      <c r="B2" s="309"/>
      <c r="C2" s="309"/>
      <c r="D2" s="309"/>
      <c r="E2" s="309"/>
      <c r="F2" s="309"/>
      <c r="G2" s="309"/>
      <c r="H2" s="309"/>
      <c r="I2" s="309"/>
      <c r="J2" s="309"/>
      <c r="K2" s="309"/>
      <c r="L2" s="309"/>
      <c r="M2" s="309"/>
      <c r="N2" s="309"/>
      <c r="O2" s="309"/>
      <c r="P2" s="309"/>
    </row>
    <row r="3" spans="1:24" ht="15.75" thickBot="1" x14ac:dyDescent="0.3">
      <c r="A3" s="51"/>
      <c r="B3" s="51"/>
      <c r="C3" s="51"/>
      <c r="D3" s="51"/>
      <c r="E3" s="51"/>
      <c r="F3" s="51"/>
      <c r="G3" s="51"/>
      <c r="H3" s="51"/>
      <c r="I3" s="51"/>
      <c r="J3" s="51"/>
      <c r="K3" s="51"/>
      <c r="L3" s="51"/>
      <c r="M3" s="51"/>
      <c r="N3" s="51"/>
      <c r="O3" s="51"/>
      <c r="P3" s="51"/>
      <c r="Q3" s="10"/>
      <c r="R3" s="10"/>
      <c r="S3" s="10"/>
    </row>
    <row r="4" spans="1:24" ht="15.75" thickTop="1" x14ac:dyDescent="0.25">
      <c r="A4" s="51"/>
      <c r="B4" s="327" t="s">
        <v>2</v>
      </c>
      <c r="C4" s="328"/>
      <c r="D4" s="328"/>
      <c r="E4" s="329"/>
      <c r="F4" s="51"/>
      <c r="G4" s="327" t="s">
        <v>4</v>
      </c>
      <c r="H4" s="328"/>
      <c r="I4" s="328"/>
      <c r="J4" s="329"/>
      <c r="K4" s="51"/>
      <c r="L4" s="327" t="s">
        <v>124</v>
      </c>
      <c r="M4" s="328"/>
      <c r="N4" s="328"/>
      <c r="O4" s="329"/>
      <c r="P4" s="51"/>
    </row>
    <row r="5" spans="1:24" x14ac:dyDescent="0.25">
      <c r="A5" s="51"/>
      <c r="B5" s="1"/>
      <c r="C5" s="2" t="s">
        <v>132</v>
      </c>
      <c r="D5" s="3" t="s">
        <v>3</v>
      </c>
      <c r="E5" s="4"/>
      <c r="F5" s="51"/>
      <c r="G5" s="1"/>
      <c r="H5" s="2" t="s">
        <v>132</v>
      </c>
      <c r="I5" s="3" t="s">
        <v>3</v>
      </c>
      <c r="J5" s="4"/>
      <c r="K5" s="51"/>
      <c r="L5" s="1"/>
      <c r="M5" s="2" t="s">
        <v>132</v>
      </c>
      <c r="N5" s="3" t="s">
        <v>3</v>
      </c>
      <c r="O5" s="4"/>
      <c r="P5" s="51"/>
    </row>
    <row r="6" spans="1:24" x14ac:dyDescent="0.25">
      <c r="A6" s="51"/>
      <c r="B6" s="5" t="s">
        <v>0</v>
      </c>
      <c r="C6" s="61">
        <f>IF(ISNUMBER('EF per step'!C8+'EF per step'!C40+'EF per step'!C72+'EF per step'!C104+'EF per step'!C136),'EF per step'!C8+'EF per step'!C40+'EF per step'!C72+'EF per step'!C104+'EF per step'!C136,0)</f>
        <v>596.19615019073319</v>
      </c>
      <c r="D6" s="6">
        <f>IF(C6&gt;0,C6/C6,"-")</f>
        <v>1</v>
      </c>
      <c r="E6" s="4"/>
      <c r="F6" s="51"/>
      <c r="G6" s="5" t="s">
        <v>0</v>
      </c>
      <c r="H6" s="61">
        <f>IF(ISNUMBER('EF per step'!H40+'EF per step'!H72+'EF per step'!H104+'EF per step'!H136),'EF per step'!H40+'EF per step'!H72+'EF per step'!H104+'EF per step'!H136,0)</f>
        <v>46.344844506507229</v>
      </c>
      <c r="I6" s="6">
        <f>IF(H6&gt;0,H6/H6,"-")</f>
        <v>1</v>
      </c>
      <c r="J6" s="4"/>
      <c r="K6" s="51"/>
      <c r="L6" s="5" t="s">
        <v>0</v>
      </c>
      <c r="M6" s="61">
        <f>IF(ISNUMBER('EF per step'!M8+'EF per step'!M40+'EF per step'!M104+'EF per step'!M136),'EF per step'!M8+'EF per step'!M40+'EF per step'!M104+'EF per step'!M136,0)</f>
        <v>31.700855542617717</v>
      </c>
      <c r="N6" s="6">
        <f>IF(M6&gt;0,M6/M6,"-")</f>
        <v>1</v>
      </c>
      <c r="O6" s="4"/>
      <c r="P6" s="51"/>
    </row>
    <row r="7" spans="1:24" x14ac:dyDescent="0.25">
      <c r="A7" s="51"/>
      <c r="B7" s="5" t="s">
        <v>1</v>
      </c>
      <c r="C7" s="61">
        <f>IF(C6&gt;0,'EF per step'!C9+'EF per step'!C41+'EF per step'!C73+'EF per step'!C105+'EF per step'!C137,0)</f>
        <v>177.04491072673568</v>
      </c>
      <c r="D7" s="6">
        <f>IF(C6&gt;0,C7/C6,"-")</f>
        <v>0.29695748734723637</v>
      </c>
      <c r="E7" s="4"/>
      <c r="F7" s="51"/>
      <c r="G7" s="5" t="s">
        <v>1</v>
      </c>
      <c r="H7" s="61">
        <f>IF(H6&gt;0,'EF per step'!H41+'EF per step'!H73+'EF per step'!H105+'EF per step'!H137,0)</f>
        <v>14.155713440013008</v>
      </c>
      <c r="I7" s="6">
        <f>IF(H6&gt;0,H7/H6,"-")</f>
        <v>0.30544311003191349</v>
      </c>
      <c r="J7" s="4"/>
      <c r="K7" s="51"/>
      <c r="L7" s="5" t="s">
        <v>1</v>
      </c>
      <c r="M7" s="61">
        <f>IF(M6&gt;0,'EF per step'!M9+'EF per step'!M41+'EF per step'!M105+'EF per step'!M137,0)</f>
        <v>13.040214852257314</v>
      </c>
      <c r="N7" s="6">
        <f>IF(M6&gt;0,M7/M6,"-")</f>
        <v>0.41135214268039</v>
      </c>
      <c r="O7" s="4"/>
      <c r="P7" s="51"/>
      <c r="T7" s="48"/>
      <c r="U7" s="48"/>
      <c r="V7" s="48"/>
      <c r="W7" s="48"/>
      <c r="X7" s="48"/>
    </row>
    <row r="8" spans="1:24" x14ac:dyDescent="0.25">
      <c r="A8" s="51"/>
      <c r="B8" s="5" t="s">
        <v>444</v>
      </c>
      <c r="C8" s="61">
        <f>IF(C7&gt;0,'EF per step'!C10+'EF per step'!C42+'EF per step'!C74+'EF per step'!C106+'EF per step'!C138,0)</f>
        <v>20.137474022330572</v>
      </c>
      <c r="D8" s="6">
        <f>IF(C6&gt;0,C8/C6,"-")</f>
        <v>3.3776591841272803E-2</v>
      </c>
      <c r="E8" s="4"/>
      <c r="F8" s="51"/>
      <c r="G8" s="5" t="s">
        <v>444</v>
      </c>
      <c r="H8" s="61">
        <f>IF(H7&gt;0,'EF per step'!H42+'EF per step'!H74+'EF per step'!H106+'EF per step'!H138,0)</f>
        <v>2.4075294359867527</v>
      </c>
      <c r="I8" s="6">
        <f>IF(H6&gt;0,H8/H6,"-")</f>
        <v>5.194816082830344E-2</v>
      </c>
      <c r="J8" s="4"/>
      <c r="K8" s="51"/>
      <c r="L8" s="5" t="s">
        <v>444</v>
      </c>
      <c r="M8" s="61">
        <f>IF(M7&gt;0,'EF per step'!M10+'EF per step'!M42+'EF per step'!M106+'EF per step'!M138,0)</f>
        <v>3.1786077949767551</v>
      </c>
      <c r="N8" s="6">
        <f>IF(M6&gt;0,M8/M6,"-")</f>
        <v>0.10026883314563943</v>
      </c>
      <c r="O8" s="4"/>
      <c r="P8" s="51"/>
      <c r="T8" s="48"/>
      <c r="U8" s="48"/>
      <c r="V8" s="48"/>
      <c r="W8" s="48"/>
      <c r="X8" s="48"/>
    </row>
    <row r="9" spans="1:24" ht="15.75" thickBot="1" x14ac:dyDescent="0.3">
      <c r="A9" s="51"/>
      <c r="B9" s="7"/>
      <c r="C9" s="8"/>
      <c r="D9" s="8"/>
      <c r="E9" s="9"/>
      <c r="F9" s="51"/>
      <c r="G9" s="7"/>
      <c r="H9" s="8"/>
      <c r="I9" s="8"/>
      <c r="J9" s="9"/>
      <c r="K9" s="51"/>
      <c r="L9" s="7"/>
      <c r="M9" s="8"/>
      <c r="N9" s="8"/>
      <c r="O9" s="9"/>
      <c r="P9" s="51"/>
      <c r="T9" s="48"/>
      <c r="U9" s="48"/>
      <c r="V9" s="48"/>
      <c r="W9" s="48"/>
      <c r="X9" s="48"/>
    </row>
    <row r="10" spans="1:24" ht="15.75" thickTop="1" x14ac:dyDescent="0.25">
      <c r="A10" s="51"/>
      <c r="B10" s="51"/>
      <c r="C10" s="51"/>
      <c r="D10" s="51"/>
      <c r="E10" s="51"/>
      <c r="F10" s="51"/>
      <c r="G10" s="51"/>
      <c r="H10" s="51"/>
      <c r="I10" s="51"/>
      <c r="J10" s="51"/>
      <c r="K10" s="51"/>
      <c r="L10" s="51"/>
      <c r="M10" s="51"/>
      <c r="N10" s="51"/>
      <c r="O10" s="51"/>
      <c r="P10" s="51"/>
      <c r="T10" s="48"/>
      <c r="U10" s="48"/>
      <c r="V10" s="48"/>
      <c r="W10" s="48"/>
      <c r="X10" s="48"/>
    </row>
    <row r="11" spans="1:24" x14ac:dyDescent="0.25">
      <c r="A11" s="309" t="s">
        <v>5</v>
      </c>
      <c r="B11" s="309"/>
      <c r="C11" s="309"/>
      <c r="D11" s="309"/>
      <c r="E11" s="309"/>
      <c r="F11" s="309"/>
      <c r="G11" s="309"/>
      <c r="H11" s="309"/>
      <c r="I11" s="309"/>
      <c r="J11" s="309"/>
      <c r="K11" s="309"/>
      <c r="L11" s="309"/>
      <c r="M11" s="309"/>
      <c r="N11" s="309"/>
      <c r="O11" s="309"/>
      <c r="P11" s="309"/>
      <c r="T11" s="48"/>
      <c r="U11" s="48"/>
      <c r="V11" s="48"/>
      <c r="W11" s="48"/>
      <c r="X11" s="48"/>
    </row>
    <row r="12" spans="1:24" ht="15.75" thickBot="1" x14ac:dyDescent="0.3">
      <c r="A12" s="51"/>
      <c r="B12" s="51"/>
      <c r="C12" s="51"/>
      <c r="D12" s="51"/>
      <c r="E12" s="51"/>
      <c r="F12" s="51"/>
      <c r="G12" s="51"/>
      <c r="H12" s="51"/>
      <c r="I12" s="51"/>
      <c r="J12" s="51"/>
      <c r="K12" s="51"/>
      <c r="L12" s="51"/>
      <c r="M12" s="51"/>
      <c r="N12" s="51"/>
      <c r="O12" s="51"/>
      <c r="P12" s="51"/>
      <c r="T12" s="48"/>
      <c r="U12" s="48"/>
      <c r="V12" s="48"/>
      <c r="W12" s="48"/>
      <c r="X12" s="48"/>
    </row>
    <row r="13" spans="1:24" ht="15.75" thickTop="1" x14ac:dyDescent="0.25">
      <c r="A13" s="51"/>
      <c r="B13" s="327" t="s">
        <v>2</v>
      </c>
      <c r="C13" s="328"/>
      <c r="D13" s="328"/>
      <c r="E13" s="329"/>
      <c r="F13" s="51"/>
      <c r="G13" s="327" t="s">
        <v>4</v>
      </c>
      <c r="H13" s="328"/>
      <c r="I13" s="328"/>
      <c r="J13" s="329"/>
      <c r="K13" s="51"/>
      <c r="L13" s="327" t="s">
        <v>124</v>
      </c>
      <c r="M13" s="328"/>
      <c r="N13" s="328"/>
      <c r="O13" s="329"/>
      <c r="P13" s="51"/>
      <c r="T13" s="48"/>
      <c r="U13" s="48"/>
      <c r="V13" s="48"/>
      <c r="W13" s="48"/>
      <c r="X13" s="48"/>
    </row>
    <row r="14" spans="1:24" s="51" customFormat="1" x14ac:dyDescent="0.25">
      <c r="B14" s="1"/>
      <c r="C14" s="2" t="s">
        <v>132</v>
      </c>
      <c r="D14" s="3" t="s">
        <v>3</v>
      </c>
      <c r="E14" s="4"/>
      <c r="G14" s="1"/>
      <c r="H14" s="2" t="s">
        <v>132</v>
      </c>
      <c r="I14" s="3" t="s">
        <v>3</v>
      </c>
      <c r="J14" s="4"/>
      <c r="L14" s="1"/>
      <c r="M14" s="2" t="s">
        <v>132</v>
      </c>
      <c r="N14" s="3" t="s">
        <v>3</v>
      </c>
      <c r="O14" s="4"/>
      <c r="T14" s="48"/>
      <c r="U14" s="48"/>
      <c r="V14" s="48"/>
      <c r="W14" s="48"/>
      <c r="X14" s="48"/>
    </row>
    <row r="15" spans="1:24" s="51" customFormat="1" x14ac:dyDescent="0.25">
      <c r="B15" s="5" t="s">
        <v>0</v>
      </c>
      <c r="C15" s="61">
        <f>IF(ISNUMBER('EF per step'!C17+'EF per step'!C49+'EF per step'!C81+'EF per step'!C113+'EF per step'!C145),'EF per step'!C17+'EF per step'!C49+'EF per step'!C81+'EF per step'!C113+'EF per step'!C145,0)</f>
        <v>183.76354562392081</v>
      </c>
      <c r="D15" s="6">
        <f>IF(C15&gt;0,C15/C15,"-")</f>
        <v>1</v>
      </c>
      <c r="E15" s="4"/>
      <c r="G15" s="5" t="s">
        <v>0</v>
      </c>
      <c r="H15" s="61">
        <f>IF(ISNUMBER('EF per step'!H49+'EF per step'!H81+'EF per step'!H113+'EF per step'!H145),'EF per step'!H49+'EF per step'!H81+'EF per step'!H113+'EF per step'!H145,0)</f>
        <v>30.739060845768556</v>
      </c>
      <c r="I15" s="6">
        <f>IF(H15&gt;0,H15/H15,"-")</f>
        <v>1</v>
      </c>
      <c r="J15" s="4"/>
      <c r="L15" s="5" t="s">
        <v>0</v>
      </c>
      <c r="M15" s="61">
        <f>IF(ISNUMBER('EF per step'!M17+'EF per step'!M49+'EF per step'!M113+'EF per step'!M145),'EF per step'!M17+'EF per step'!M49+'EF per step'!M113+'EF per step'!M145,0)</f>
        <v>37.431064066311791</v>
      </c>
      <c r="N15" s="6">
        <f>IF(M15&gt;0,M15/M15,"-")</f>
        <v>1</v>
      </c>
      <c r="O15" s="4"/>
      <c r="T15" s="48"/>
      <c r="U15" s="48"/>
      <c r="V15" s="48"/>
      <c r="W15" s="48"/>
      <c r="X15" s="48"/>
    </row>
    <row r="16" spans="1:24" s="51" customFormat="1" x14ac:dyDescent="0.25">
      <c r="B16" s="5" t="s">
        <v>1</v>
      </c>
      <c r="C16" s="61">
        <f>IF(C15&gt;0,'EF per step'!C18+'EF per step'!C50+'EF per step'!C82+'EF per step'!C114+'EF per step'!C146,0)</f>
        <v>57.254977018563885</v>
      </c>
      <c r="D16" s="6">
        <f>IF(C15&gt;0,C16/C15,"-")</f>
        <v>0.31156874354034508</v>
      </c>
      <c r="E16" s="4"/>
      <c r="G16" s="5" t="s">
        <v>1</v>
      </c>
      <c r="H16" s="61">
        <f>IF(H15&gt;0,'EF per step'!H50+'EF per step'!H82+'EF per step'!H114+'EF per step'!H146,0)</f>
        <v>10.056958702424131</v>
      </c>
      <c r="I16" s="6">
        <f>IF(H15&gt;0,H16/H15,"-")</f>
        <v>0.32717195729838117</v>
      </c>
      <c r="J16" s="4"/>
      <c r="L16" s="5" t="s">
        <v>1</v>
      </c>
      <c r="M16" s="61">
        <f>IF(M15&gt;0,'EF per step'!M18+'EF per step'!M50+'EF per step'!M114+'EF per step'!M146,0)</f>
        <v>14.159822977058353</v>
      </c>
      <c r="N16" s="6">
        <f>IF(M15&gt;0,M16/M15,"-")</f>
        <v>0.37829068796904142</v>
      </c>
      <c r="O16" s="4"/>
      <c r="T16" s="48"/>
      <c r="U16" s="48"/>
      <c r="V16" s="48"/>
      <c r="W16" s="48"/>
      <c r="X16" s="48"/>
    </row>
    <row r="17" spans="1:24" s="51" customFormat="1" x14ac:dyDescent="0.25">
      <c r="B17" s="5" t="s">
        <v>444</v>
      </c>
      <c r="C17" s="61">
        <f>IF(C16&gt;0,'EF per step'!C19+'EF per step'!C51+'EF per step'!C83+'EF per step'!C115+'EF per step'!C147,0)</f>
        <v>7.2869283557835995</v>
      </c>
      <c r="D17" s="6">
        <f>IF(C15&gt;0,C17/C15,"-")</f>
        <v>3.9653829768264155E-2</v>
      </c>
      <c r="E17" s="4"/>
      <c r="G17" s="5" t="s">
        <v>444</v>
      </c>
      <c r="H17" s="61">
        <f>IF(H16&gt;0,'EF per step'!H51+'EF per step'!H83+'EF per step'!H115+'EF per step'!H147,0)</f>
        <v>1.7849289903925307</v>
      </c>
      <c r="I17" s="6">
        <f>IF(H15&gt;0,H17/H15,"-")</f>
        <v>5.8067128314306923E-2</v>
      </c>
      <c r="J17" s="4"/>
      <c r="L17" s="5" t="s">
        <v>444</v>
      </c>
      <c r="M17" s="61">
        <f>IF(M16&gt;0,'EF per step'!M19+'EF per step'!M51+'EF per step'!M115+'EF per step'!M147,0)</f>
        <v>2.3800794245100638</v>
      </c>
      <c r="N17" s="6">
        <f>IF(M15&gt;0,M17/M15,"-")</f>
        <v>6.3585673661149034E-2</v>
      </c>
      <c r="O17" s="4"/>
      <c r="T17" s="48"/>
      <c r="U17" s="48"/>
      <c r="V17" s="48"/>
      <c r="W17" s="48"/>
      <c r="X17" s="48"/>
    </row>
    <row r="18" spans="1:24" s="51" customFormat="1" ht="15.75" thickBot="1" x14ac:dyDescent="0.3">
      <c r="B18" s="7"/>
      <c r="C18" s="8"/>
      <c r="D18" s="8"/>
      <c r="E18" s="9"/>
      <c r="G18" s="7"/>
      <c r="H18" s="8"/>
      <c r="I18" s="8"/>
      <c r="J18" s="9"/>
      <c r="L18" s="7"/>
      <c r="M18" s="8"/>
      <c r="N18" s="8"/>
      <c r="O18" s="9"/>
      <c r="T18" s="48"/>
      <c r="U18" s="48"/>
      <c r="V18" s="48"/>
      <c r="W18" s="48"/>
      <c r="X18" s="48"/>
    </row>
    <row r="19" spans="1:24" s="51" customFormat="1" ht="15.75" thickTop="1" x14ac:dyDescent="0.25">
      <c r="T19" s="48"/>
      <c r="U19" s="48"/>
      <c r="V19" s="48"/>
      <c r="W19" s="48"/>
      <c r="X19" s="48"/>
    </row>
    <row r="20" spans="1:24" x14ac:dyDescent="0.25">
      <c r="A20" s="309" t="s">
        <v>7</v>
      </c>
      <c r="B20" s="309"/>
      <c r="C20" s="309"/>
      <c r="D20" s="309"/>
      <c r="E20" s="309"/>
      <c r="F20" s="309"/>
      <c r="G20" s="309"/>
      <c r="H20" s="309"/>
      <c r="I20" s="309"/>
      <c r="J20" s="309"/>
      <c r="K20" s="309"/>
      <c r="L20" s="309"/>
      <c r="M20" s="309"/>
      <c r="N20" s="309"/>
      <c r="O20" s="309"/>
      <c r="P20" s="309"/>
      <c r="T20" s="48"/>
      <c r="U20" s="48"/>
      <c r="V20" s="48"/>
      <c r="W20" s="48"/>
      <c r="X20" s="48"/>
    </row>
    <row r="21" spans="1:24" ht="15.75" thickBot="1" x14ac:dyDescent="0.3">
      <c r="A21" s="51"/>
      <c r="B21" s="51"/>
      <c r="C21" s="51"/>
      <c r="D21" s="51"/>
      <c r="E21" s="51"/>
      <c r="F21" s="51"/>
      <c r="G21" s="51"/>
      <c r="H21" s="51"/>
      <c r="I21" s="51"/>
      <c r="J21" s="51"/>
      <c r="K21" s="51"/>
      <c r="L21" s="51"/>
      <c r="M21" s="51"/>
      <c r="N21" s="51"/>
      <c r="O21" s="51"/>
      <c r="P21" s="51"/>
      <c r="T21" s="48"/>
      <c r="U21" s="48"/>
      <c r="V21" s="48"/>
      <c r="W21" s="48"/>
      <c r="X21" s="48"/>
    </row>
    <row r="22" spans="1:24" ht="15.75" thickTop="1" x14ac:dyDescent="0.25">
      <c r="A22" s="51"/>
      <c r="B22" s="327" t="s">
        <v>2</v>
      </c>
      <c r="C22" s="328"/>
      <c r="D22" s="328"/>
      <c r="E22" s="329"/>
      <c r="F22" s="51"/>
      <c r="G22" s="327" t="s">
        <v>4</v>
      </c>
      <c r="H22" s="328"/>
      <c r="I22" s="328"/>
      <c r="J22" s="329"/>
      <c r="K22" s="51"/>
      <c r="L22" s="327" t="s">
        <v>124</v>
      </c>
      <c r="M22" s="328"/>
      <c r="N22" s="328"/>
      <c r="O22" s="329"/>
      <c r="P22" s="51"/>
      <c r="T22" s="48"/>
      <c r="U22" s="48"/>
      <c r="V22" s="48"/>
      <c r="W22" s="48"/>
      <c r="X22" s="48"/>
    </row>
    <row r="23" spans="1:24" s="51" customFormat="1" x14ac:dyDescent="0.25">
      <c r="B23" s="1"/>
      <c r="C23" s="2" t="s">
        <v>132</v>
      </c>
      <c r="D23" s="3" t="s">
        <v>3</v>
      </c>
      <c r="E23" s="4"/>
      <c r="G23" s="1"/>
      <c r="H23" s="2" t="s">
        <v>132</v>
      </c>
      <c r="I23" s="3" t="s">
        <v>3</v>
      </c>
      <c r="J23" s="4"/>
      <c r="L23" s="1"/>
      <c r="M23" s="2" t="s">
        <v>132</v>
      </c>
      <c r="N23" s="3" t="s">
        <v>3</v>
      </c>
      <c r="O23" s="4"/>
      <c r="T23" s="48"/>
      <c r="U23" s="48"/>
      <c r="V23" s="48"/>
      <c r="W23" s="48"/>
      <c r="X23" s="48"/>
    </row>
    <row r="24" spans="1:24" s="51" customFormat="1" x14ac:dyDescent="0.25">
      <c r="B24" s="5" t="s">
        <v>0</v>
      </c>
      <c r="C24" s="61">
        <f>IF(ISNUMBER('EF per step'!C26+'EF per step'!C58+'EF per step'!C90+'EF per step'!C122+'EF per step'!C154),'EF per step'!C26+'EF per step'!C58+'EF per step'!C90+'EF per step'!C122+'EF per step'!C154,0)</f>
        <v>90.067176971875185</v>
      </c>
      <c r="D24" s="6">
        <f>IF(C24&gt;0,C24/C24,"-")</f>
        <v>1</v>
      </c>
      <c r="E24" s="4"/>
      <c r="G24" s="5" t="s">
        <v>0</v>
      </c>
      <c r="H24" s="61">
        <f>IF(ISNUMBER('EF per step'!H58+'EF per step'!H90+'EF per step'!H122+'EF per step'!H154),'EF per step'!H58+'EF per step'!H90+'EF per step'!H122+'EF per step'!H154,0)</f>
        <v>15.955944061921663</v>
      </c>
      <c r="I24" s="6">
        <f>IF(H24&gt;0,H24/H24,"-")</f>
        <v>1</v>
      </c>
      <c r="J24" s="4"/>
      <c r="L24" s="5" t="s">
        <v>0</v>
      </c>
      <c r="M24" s="61">
        <f>IF(ISNUMBER('EF per step'!M26+'EF per step'!M58+'EF per step'!M122+'EF per step'!M154),'EF per step'!M26+'EF per step'!M58+'EF per step'!M122+'EF per step'!M154,0)</f>
        <v>28.773688882329431</v>
      </c>
      <c r="N24" s="6">
        <f>IF(M24&gt;0,M24/M24,"-")</f>
        <v>1</v>
      </c>
      <c r="O24" s="4"/>
      <c r="T24" s="48"/>
      <c r="U24" s="48"/>
      <c r="V24" s="48"/>
      <c r="W24" s="48"/>
      <c r="X24" s="48"/>
    </row>
    <row r="25" spans="1:24" s="51" customFormat="1" x14ac:dyDescent="0.25">
      <c r="B25" s="5" t="s">
        <v>1</v>
      </c>
      <c r="C25" s="61">
        <f>IF(C24&gt;0,'EF per step'!C27+'EF per step'!C59+'EF per step'!C91+'EF per step'!C123+'EF per step'!C155,0)</f>
        <v>28.837043972238668</v>
      </c>
      <c r="D25" s="6">
        <f>IF(C24&gt;0,C25/C24,"-")</f>
        <v>0.32017261939100705</v>
      </c>
      <c r="E25" s="4"/>
      <c r="G25" s="5" t="s">
        <v>1</v>
      </c>
      <c r="H25" s="61">
        <f>IF(H24&gt;0,'EF per step'!H59+'EF per step'!H91+'EF per step'!H123+'EF per step'!H155,0)</f>
        <v>5.9480618604081625</v>
      </c>
      <c r="I25" s="6">
        <f>IF(H24&gt;0,H25/H24,"-")</f>
        <v>0.37278031543135182</v>
      </c>
      <c r="J25" s="4"/>
      <c r="L25" s="5" t="s">
        <v>1</v>
      </c>
      <c r="M25" s="61">
        <f>IF(M24&gt;0,'EF per step'!M27+'EF per step'!M59+'EF per step'!M123+'EF per step'!M155,0)</f>
        <v>10.227937056853822</v>
      </c>
      <c r="N25" s="6">
        <f>IF(M24&gt;0,M25/M24,"-")</f>
        <v>0.35546144599954399</v>
      </c>
      <c r="O25" s="4"/>
      <c r="T25" s="48"/>
      <c r="U25" s="48"/>
      <c r="V25" s="48"/>
      <c r="W25" s="48"/>
      <c r="X25" s="48"/>
    </row>
    <row r="26" spans="1:24" s="51" customFormat="1" x14ac:dyDescent="0.25">
      <c r="B26" s="5" t="s">
        <v>444</v>
      </c>
      <c r="C26" s="61">
        <f>IF(C25&gt;0,'EF per step'!C28+'EF per step'!C60+'EF per step'!C92+'EF per step'!C124+'EF per step'!C156,0)</f>
        <v>4.4199959403497013</v>
      </c>
      <c r="D26" s="6">
        <f>IF(C24&gt;0,C26/C24,"-")</f>
        <v>4.9074436314684437E-2</v>
      </c>
      <c r="E26" s="4"/>
      <c r="G26" s="5" t="s">
        <v>444</v>
      </c>
      <c r="H26" s="61">
        <f>IF(H25&gt;0,'EF per step'!H60+'EF per step'!H92+'EF per step'!H124+'EF per step'!H156,0)</f>
        <v>1.1856935572591554</v>
      </c>
      <c r="I26" s="6">
        <f>IF(H24&gt;0,H26/H24,"-")</f>
        <v>7.4310460895182895E-2</v>
      </c>
      <c r="J26" s="4"/>
      <c r="L26" s="5" t="s">
        <v>444</v>
      </c>
      <c r="M26" s="61">
        <f>IF(M25&gt;0,'EF per step'!M28+'EF per step'!M60+'EF per step'!M124+'EF per step'!M156,0)</f>
        <v>1.4342162317683682</v>
      </c>
      <c r="N26" s="6">
        <f>IF(M24&gt;0,M26/M24,"-")</f>
        <v>4.9844711869709298E-2</v>
      </c>
      <c r="O26" s="4"/>
      <c r="T26" s="48"/>
      <c r="U26" s="48"/>
      <c r="V26" s="48"/>
      <c r="W26" s="48"/>
      <c r="X26" s="48"/>
    </row>
    <row r="27" spans="1:24" s="51" customFormat="1" ht="15.75" thickBot="1" x14ac:dyDescent="0.3">
      <c r="B27" s="7"/>
      <c r="C27" s="8"/>
      <c r="D27" s="8"/>
      <c r="E27" s="9"/>
      <c r="G27" s="7"/>
      <c r="H27" s="8"/>
      <c r="I27" s="8"/>
      <c r="J27" s="9"/>
      <c r="L27" s="7"/>
      <c r="M27" s="8"/>
      <c r="N27" s="8"/>
      <c r="O27" s="9"/>
      <c r="T27" s="48"/>
      <c r="U27" s="48"/>
      <c r="V27" s="48"/>
      <c r="W27" s="48"/>
      <c r="X27" s="48"/>
    </row>
    <row r="28" spans="1:24" s="51" customFormat="1" ht="15.75" thickTop="1" x14ac:dyDescent="0.25"/>
    <row r="29" spans="1:24" x14ac:dyDescent="0.25">
      <c r="A29" s="51"/>
      <c r="B29" s="51"/>
      <c r="C29" s="62"/>
      <c r="D29" s="42"/>
      <c r="E29" s="42"/>
      <c r="F29" s="42"/>
      <c r="G29" s="42"/>
      <c r="H29" s="62"/>
      <c r="I29" s="42"/>
      <c r="J29" s="42"/>
      <c r="K29" s="42"/>
      <c r="L29" s="42"/>
      <c r="M29" s="62"/>
      <c r="N29" s="51"/>
      <c r="O29" s="51"/>
      <c r="P29" s="51"/>
    </row>
    <row r="30" spans="1:24" x14ac:dyDescent="0.25">
      <c r="A30" s="309" t="s">
        <v>419</v>
      </c>
      <c r="B30" s="309"/>
      <c r="C30" s="309"/>
      <c r="D30" s="309"/>
      <c r="E30" s="309"/>
      <c r="F30" s="309"/>
      <c r="G30" s="309"/>
      <c r="H30" s="309"/>
      <c r="I30" s="309"/>
      <c r="J30" s="309"/>
      <c r="K30" s="309"/>
      <c r="L30" s="309"/>
      <c r="M30" s="309"/>
      <c r="N30" s="309"/>
      <c r="O30" s="309"/>
      <c r="P30" s="309"/>
      <c r="Q30" s="62"/>
    </row>
    <row r="31" spans="1:24" ht="15.75" thickBot="1" x14ac:dyDescent="0.3">
      <c r="A31" s="234"/>
      <c r="B31" s="234"/>
      <c r="C31" s="234"/>
      <c r="D31" s="234"/>
      <c r="E31" s="234"/>
      <c r="F31" s="234"/>
      <c r="G31" s="234"/>
      <c r="H31" s="234"/>
      <c r="I31" s="234"/>
      <c r="J31" s="234"/>
      <c r="K31" s="234"/>
      <c r="L31" s="234"/>
      <c r="M31" s="234"/>
      <c r="N31" s="234"/>
      <c r="O31" s="234"/>
      <c r="P31" s="234"/>
    </row>
    <row r="32" spans="1:24" s="51" customFormat="1" ht="15.75" thickTop="1" x14ac:dyDescent="0.25">
      <c r="A32" s="234"/>
      <c r="B32" s="327" t="s">
        <v>415</v>
      </c>
      <c r="C32" s="328"/>
      <c r="D32" s="328"/>
      <c r="E32" s="329"/>
      <c r="F32" s="234"/>
      <c r="G32" s="327" t="s">
        <v>417</v>
      </c>
      <c r="H32" s="328"/>
      <c r="I32" s="328"/>
      <c r="J32" s="329"/>
      <c r="K32" s="234"/>
      <c r="L32" s="327" t="s">
        <v>422</v>
      </c>
      <c r="M32" s="328"/>
      <c r="N32" s="328"/>
      <c r="O32" s="329"/>
      <c r="P32" s="234"/>
    </row>
    <row r="33" spans="1:16" s="51" customFormat="1" x14ac:dyDescent="0.25">
      <c r="A33" s="234"/>
      <c r="B33" s="1"/>
      <c r="C33" s="2" t="s">
        <v>132</v>
      </c>
      <c r="D33" s="3" t="s">
        <v>3</v>
      </c>
      <c r="E33" s="4"/>
      <c r="F33" s="234"/>
      <c r="G33" s="1"/>
      <c r="H33" s="2" t="s">
        <v>132</v>
      </c>
      <c r="I33" s="3" t="s">
        <v>3</v>
      </c>
      <c r="J33" s="4"/>
      <c r="K33" s="234"/>
      <c r="L33" s="1"/>
      <c r="M33" s="2" t="s">
        <v>132</v>
      </c>
      <c r="N33" s="3" t="s">
        <v>3</v>
      </c>
      <c r="O33" s="4"/>
      <c r="P33" s="234"/>
    </row>
    <row r="34" spans="1:16" s="51" customFormat="1" x14ac:dyDescent="0.25">
      <c r="A34" s="234"/>
      <c r="B34" s="5" t="s">
        <v>0</v>
      </c>
      <c r="C34" s="61">
        <f>C41/Prod_CR*10^6</f>
        <v>212.83470728072672</v>
      </c>
      <c r="D34" s="6">
        <f>IF(C34&gt;0,C34/C34,"-")</f>
        <v>1</v>
      </c>
      <c r="E34" s="4"/>
      <c r="F34" s="234"/>
      <c r="G34" s="5" t="s">
        <v>0</v>
      </c>
      <c r="H34" s="61">
        <f>H41/Prod_SG*10^6</f>
        <v>33.983617609450057</v>
      </c>
      <c r="I34" s="6">
        <f>IF(H34&gt;0,H34/H34,"-")</f>
        <v>1</v>
      </c>
      <c r="J34" s="4"/>
      <c r="K34" s="234"/>
      <c r="L34" s="5" t="s">
        <v>0</v>
      </c>
      <c r="M34" s="61">
        <f>M41/Prod_RA*10^6</f>
        <v>32.84689724735653</v>
      </c>
      <c r="N34" s="6">
        <f>IF(M34&gt;0,M34/M34,"-")</f>
        <v>1</v>
      </c>
      <c r="O34" s="4"/>
      <c r="P34" s="234"/>
    </row>
    <row r="35" spans="1:16" s="51" customFormat="1" x14ac:dyDescent="0.25">
      <c r="A35" s="234"/>
      <c r="B35" s="5" t="s">
        <v>1</v>
      </c>
      <c r="C35" s="61">
        <f>C42/Prod_CR*10^6</f>
        <v>65.277190508575814</v>
      </c>
      <c r="D35" s="6">
        <f>IF(C34&gt;0,C35/C34,"-")</f>
        <v>0.30670369199923719</v>
      </c>
      <c r="E35" s="4"/>
      <c r="F35" s="234"/>
      <c r="G35" s="5" t="s">
        <v>1</v>
      </c>
      <c r="H35" s="61">
        <f>H42/Prod_SG*10^6</f>
        <v>10.875188334277842</v>
      </c>
      <c r="I35" s="6">
        <f>IF(H34&gt;0,H35/H34,"-")</f>
        <v>0.32001267373176023</v>
      </c>
      <c r="J35" s="4"/>
      <c r="K35" s="234"/>
      <c r="L35" s="5" t="s">
        <v>1</v>
      </c>
      <c r="M35" s="61">
        <f>M42/Prod_RA*10^6</f>
        <v>13.264136477217518</v>
      </c>
      <c r="N35" s="6">
        <f>IF(M34&gt;0,M35/M34,"-")</f>
        <v>0.40381702957605825</v>
      </c>
      <c r="O35" s="4"/>
      <c r="P35" s="234"/>
    </row>
    <row r="36" spans="1:16" s="51" customFormat="1" x14ac:dyDescent="0.25">
      <c r="A36" s="234"/>
      <c r="B36" s="5" t="s">
        <v>444</v>
      </c>
      <c r="C36" s="61">
        <f>C43/Prod_CR*10^6</f>
        <v>8.2110838603637806</v>
      </c>
      <c r="D36" s="6">
        <f>IF(C34&gt;0,C36/C34,"-")</f>
        <v>3.8579628131484439E-2</v>
      </c>
      <c r="E36" s="4"/>
      <c r="F36" s="234"/>
      <c r="G36" s="5" t="s">
        <v>444</v>
      </c>
      <c r="H36" s="61">
        <f>H43/Prod_SG*10^6</f>
        <v>1.9129538313805021</v>
      </c>
      <c r="I36" s="6">
        <f>IF(H34&gt;0,H36/H34,"-")</f>
        <v>5.6290470701640484E-2</v>
      </c>
      <c r="J36" s="4"/>
      <c r="K36" s="234"/>
      <c r="L36" s="5" t="s">
        <v>444</v>
      </c>
      <c r="M36" s="61">
        <f>M43/Prod_RA*10^6</f>
        <v>3.0189021208834164</v>
      </c>
      <c r="N36" s="6">
        <f>IF(M34&gt;0,M36/M34,"-")</f>
        <v>9.1908288875789418E-2</v>
      </c>
      <c r="O36" s="4"/>
      <c r="P36" s="234"/>
    </row>
    <row r="37" spans="1:16" s="51" customFormat="1" ht="15.75" thickBot="1" x14ac:dyDescent="0.3">
      <c r="A37" s="234"/>
      <c r="B37" s="7"/>
      <c r="C37" s="8"/>
      <c r="D37" s="8"/>
      <c r="E37" s="9"/>
      <c r="F37" s="234"/>
      <c r="G37" s="7"/>
      <c r="H37" s="8"/>
      <c r="I37" s="8"/>
      <c r="J37" s="9"/>
      <c r="K37" s="234"/>
      <c r="L37" s="7"/>
      <c r="M37" s="8"/>
      <c r="N37" s="8"/>
      <c r="O37" s="9"/>
      <c r="P37" s="234"/>
    </row>
    <row r="38" spans="1:16" s="51" customFormat="1" ht="31.5" customHeight="1" thickTop="1" thickBot="1" x14ac:dyDescent="0.3">
      <c r="C38" s="47"/>
      <c r="H38" s="47"/>
      <c r="M38" s="47"/>
    </row>
    <row r="39" spans="1:16" ht="15.75" thickTop="1" x14ac:dyDescent="0.25">
      <c r="A39" s="51"/>
      <c r="B39" s="330" t="s">
        <v>416</v>
      </c>
      <c r="C39" s="331"/>
      <c r="D39" s="331"/>
      <c r="E39" s="332"/>
      <c r="F39" s="261"/>
      <c r="G39" s="330" t="s">
        <v>418</v>
      </c>
      <c r="H39" s="331"/>
      <c r="I39" s="331"/>
      <c r="J39" s="332"/>
      <c r="K39" s="261"/>
      <c r="L39" s="330" t="s">
        <v>423</v>
      </c>
      <c r="M39" s="331"/>
      <c r="N39" s="331"/>
      <c r="O39" s="332"/>
      <c r="P39" s="51"/>
    </row>
    <row r="40" spans="1:16" x14ac:dyDescent="0.25">
      <c r="A40" s="51"/>
      <c r="B40" s="262"/>
      <c r="C40" s="2" t="s">
        <v>424</v>
      </c>
      <c r="D40" s="259" t="s">
        <v>3</v>
      </c>
      <c r="E40" s="263"/>
      <c r="F40" s="50"/>
      <c r="G40" s="262"/>
      <c r="H40" s="2" t="s">
        <v>424</v>
      </c>
      <c r="I40" s="259" t="s">
        <v>3</v>
      </c>
      <c r="J40" s="263"/>
      <c r="K40" s="50"/>
      <c r="L40" s="262"/>
      <c r="M40" s="2" t="s">
        <v>424</v>
      </c>
      <c r="N40" s="259" t="s">
        <v>3</v>
      </c>
      <c r="O40" s="263"/>
      <c r="P40" s="51"/>
    </row>
    <row r="41" spans="1:16" x14ac:dyDescent="0.25">
      <c r="A41" s="51"/>
      <c r="B41" s="264" t="s">
        <v>0</v>
      </c>
      <c r="C41" s="61">
        <f>(Size_dist_SQ_CR*Prod_CR*C6+Size_dist_MQ_CR*Prod_CR*C15+Size_dist_LQ_CR*Prod_CR*C24)*10^-6</f>
        <v>42.566941456145344</v>
      </c>
      <c r="D41" s="260">
        <f>IF(C41&gt;0,C41/C41,"-")</f>
        <v>1</v>
      </c>
      <c r="E41" s="263"/>
      <c r="F41" s="50"/>
      <c r="G41" s="264" t="s">
        <v>0</v>
      </c>
      <c r="H41" s="61">
        <f>(Size_dist_SQ_SG*Prod_SG*H6+Size_dist_MQ_SG*Prod_SG*H15+Size_dist_LQ_SG*Prod_SG*H24)*10^-6</f>
        <v>8.4959044023625143</v>
      </c>
      <c r="I41" s="260">
        <f>IF(H41&gt;0,H41/H41,"-")</f>
        <v>1</v>
      </c>
      <c r="J41" s="263"/>
      <c r="K41" s="50"/>
      <c r="L41" s="264" t="s">
        <v>0</v>
      </c>
      <c r="M41" s="61">
        <f>(Size_dist_SQ_RA*Prod_RA*M6+Size_dist_MQ_RA*Prod_RA*M15+Size_dist_LQ_RA*Prod_RA*M24)*10^-6</f>
        <v>0.98540691742069586</v>
      </c>
      <c r="N41" s="260">
        <f>IF(M41&gt;0,M41/M41,"-")</f>
        <v>1</v>
      </c>
      <c r="O41" s="263"/>
      <c r="P41" s="51"/>
    </row>
    <row r="42" spans="1:16" x14ac:dyDescent="0.25">
      <c r="A42" s="51"/>
      <c r="B42" s="264" t="s">
        <v>1</v>
      </c>
      <c r="C42" s="61">
        <f>(Size_dist_SQ_CR*Prod_CR*C7+Size_dist_MQ_CR*Prod_CR*C16+Size_dist_LQ_CR*Prod_CR*C25)*10^-6</f>
        <v>13.055438101715163</v>
      </c>
      <c r="D42" s="260">
        <f>IF(C41&gt;0,C42/C41,"-")</f>
        <v>0.30670369199923719</v>
      </c>
      <c r="E42" s="263"/>
      <c r="F42" s="50"/>
      <c r="G42" s="264" t="s">
        <v>1</v>
      </c>
      <c r="H42" s="61">
        <f>(Size_dist_SQ_SG*Prod_SG*H7+Size_dist_MQ_SG*Prod_SG*H16+Size_dist_LQ_SG*Prod_SG*H25)*10^-6</f>
        <v>2.7187970835694606</v>
      </c>
      <c r="I42" s="260">
        <f>IF(H41&gt;0,H42/H41,"-")</f>
        <v>0.32001267373176023</v>
      </c>
      <c r="J42" s="263"/>
      <c r="K42" s="50"/>
      <c r="L42" s="264" t="s">
        <v>1</v>
      </c>
      <c r="M42" s="61">
        <f>(Size_dist_SQ_RA*Prod_RA*M7+Size_dist_MQ_RA*Prod_RA*M16+Size_dist_LQ_RA*Prod_RA*M25)*10^-6</f>
        <v>0.39792409431652553</v>
      </c>
      <c r="N42" s="260">
        <f>IF(M41&gt;0,M42/M41,"-")</f>
        <v>0.40381702957605825</v>
      </c>
      <c r="O42" s="263"/>
      <c r="P42" s="51"/>
    </row>
    <row r="43" spans="1:16" x14ac:dyDescent="0.25">
      <c r="A43" s="51"/>
      <c r="B43" s="264" t="s">
        <v>444</v>
      </c>
      <c r="C43" s="61">
        <f>(Size_dist_SQ_CR*Prod_CR*C8+Size_dist_MQ_CR*Prod_CR*C17+Size_dist_LQ_CR*Prod_CR*C26)*10^-6</f>
        <v>1.6422167720727561</v>
      </c>
      <c r="D43" s="260">
        <f>IF(C41&gt;0,C43/C41,"-")</f>
        <v>3.8579628131484439E-2</v>
      </c>
      <c r="E43" s="263"/>
      <c r="F43" s="50"/>
      <c r="G43" s="264" t="s">
        <v>444</v>
      </c>
      <c r="H43" s="61">
        <f>(Size_dist_SQ_SG*Prod_SG*H8+Size_dist_MQ_SG*Prod_SG*H17+Size_dist_LQ_SG*Prod_SG*H26)*10^-6</f>
        <v>0.47823845784512548</v>
      </c>
      <c r="I43" s="260">
        <f>IF(H41&gt;0,H43/H41,"-")</f>
        <v>5.6290470701640477E-2</v>
      </c>
      <c r="J43" s="263"/>
      <c r="K43" s="50"/>
      <c r="L43" s="264" t="s">
        <v>444</v>
      </c>
      <c r="M43" s="61">
        <f>(Size_dist_SQ_RA*Prod_RA*M8+Size_dist_MQ_RA*Prod_RA*M17+Size_dist_LQ_RA*Prod_RA*M26)*10^-6</f>
        <v>9.0567063626502492E-2</v>
      </c>
      <c r="N43" s="260">
        <f>IF(M41&gt;0,M43/M41,"-")</f>
        <v>9.1908288875789432E-2</v>
      </c>
      <c r="O43" s="263"/>
      <c r="P43" s="51"/>
    </row>
    <row r="44" spans="1:16" ht="15.75" thickBot="1" x14ac:dyDescent="0.3">
      <c r="A44" s="51"/>
      <c r="B44" s="265"/>
      <c r="C44" s="266"/>
      <c r="D44" s="266"/>
      <c r="E44" s="267"/>
      <c r="F44" s="266"/>
      <c r="G44" s="265"/>
      <c r="H44" s="266"/>
      <c r="I44" s="266"/>
      <c r="J44" s="267"/>
      <c r="K44" s="266"/>
      <c r="L44" s="265"/>
      <c r="M44" s="266"/>
      <c r="N44" s="266"/>
      <c r="O44" s="267"/>
      <c r="P44" s="51"/>
    </row>
    <row r="45" spans="1:16" ht="15.75" thickTop="1" x14ac:dyDescent="0.25">
      <c r="A45" s="51"/>
      <c r="B45" s="51"/>
      <c r="C45" s="51"/>
      <c r="D45" s="51"/>
      <c r="E45" s="51"/>
      <c r="F45" s="51"/>
      <c r="G45" s="51"/>
      <c r="H45" s="51"/>
      <c r="I45" s="51"/>
      <c r="J45" s="51"/>
      <c r="K45" s="51"/>
      <c r="L45" s="51"/>
      <c r="M45" s="51"/>
      <c r="N45" s="51"/>
      <c r="O45" s="51"/>
      <c r="P45" s="51"/>
    </row>
    <row r="46" spans="1:16" x14ac:dyDescent="0.25">
      <c r="A46" s="51"/>
      <c r="B46" s="51"/>
      <c r="C46" s="51"/>
      <c r="D46" s="51"/>
      <c r="E46" s="51"/>
      <c r="F46" s="51"/>
      <c r="G46" s="51"/>
      <c r="H46" s="51"/>
      <c r="I46" s="51"/>
      <c r="J46" s="51"/>
      <c r="K46" s="51"/>
      <c r="L46" s="51"/>
      <c r="M46" s="51"/>
      <c r="N46" s="51"/>
      <c r="O46" s="51"/>
      <c r="P46" s="51"/>
    </row>
    <row r="47" spans="1:16" x14ac:dyDescent="0.25">
      <c r="A47" s="309" t="s">
        <v>420</v>
      </c>
      <c r="B47" s="309"/>
      <c r="C47" s="309"/>
      <c r="D47" s="309"/>
      <c r="E47" s="309"/>
      <c r="F47" s="309"/>
      <c r="G47" s="309"/>
      <c r="H47" s="309"/>
      <c r="I47" s="309"/>
      <c r="J47" s="309"/>
      <c r="K47" s="309"/>
      <c r="L47" s="309"/>
      <c r="M47" s="309"/>
      <c r="N47" s="309"/>
      <c r="O47" s="309"/>
      <c r="P47" s="309"/>
    </row>
    <row r="48" spans="1:16" ht="15.75" thickBot="1" x14ac:dyDescent="0.3">
      <c r="A48" s="51"/>
      <c r="B48" s="51"/>
      <c r="C48" s="51"/>
      <c r="D48" s="51"/>
      <c r="E48" s="51"/>
      <c r="F48" s="51"/>
      <c r="G48" s="51"/>
      <c r="H48" s="51"/>
      <c r="I48" s="51"/>
      <c r="J48" s="51"/>
      <c r="K48" s="51"/>
      <c r="L48" s="51"/>
      <c r="M48" s="51"/>
      <c r="N48" s="51"/>
      <c r="O48" s="51"/>
      <c r="P48" s="51"/>
    </row>
    <row r="49" spans="1:27" ht="15.75" thickTop="1" x14ac:dyDescent="0.25">
      <c r="A49" s="51"/>
      <c r="F49" s="51"/>
      <c r="G49" s="327" t="s">
        <v>215</v>
      </c>
      <c r="H49" s="328"/>
      <c r="I49" s="328"/>
      <c r="J49" s="329"/>
      <c r="K49" s="51"/>
      <c r="L49" s="51"/>
      <c r="M49" s="51"/>
      <c r="N49" s="51"/>
      <c r="O49" s="51"/>
      <c r="P49" s="51"/>
    </row>
    <row r="50" spans="1:27" x14ac:dyDescent="0.25">
      <c r="A50" s="51"/>
      <c r="F50" s="51"/>
      <c r="G50" s="1"/>
      <c r="H50" s="2" t="s">
        <v>132</v>
      </c>
      <c r="I50" s="3" t="s">
        <v>3</v>
      </c>
      <c r="J50" s="4"/>
      <c r="K50" s="51"/>
      <c r="L50" s="51"/>
      <c r="M50" s="51"/>
      <c r="N50" s="51"/>
      <c r="O50" s="51"/>
      <c r="P50" s="51"/>
    </row>
    <row r="51" spans="1:27" x14ac:dyDescent="0.25">
      <c r="A51" s="51"/>
      <c r="F51" s="51"/>
      <c r="G51" s="5" t="s">
        <v>0</v>
      </c>
      <c r="H51" s="61">
        <f>H58/(Prod_CR+Prod_RA+Prod_SG)*10^6</f>
        <v>108.43385994985115</v>
      </c>
      <c r="I51" s="6">
        <f>IF(H51&gt;0,H51/H51,"-")</f>
        <v>1</v>
      </c>
      <c r="J51" s="4"/>
      <c r="K51" s="51"/>
      <c r="L51" s="51"/>
      <c r="M51" s="252"/>
      <c r="N51" s="252"/>
      <c r="O51" s="51"/>
      <c r="P51" s="51"/>
    </row>
    <row r="52" spans="1:27" x14ac:dyDescent="0.25">
      <c r="A52" s="51"/>
      <c r="F52" s="51"/>
      <c r="G52" s="5" t="s">
        <v>1</v>
      </c>
      <c r="H52" s="61">
        <f>H59/(Prod_CR+Prod_RA+Prod_SG)*10^6</f>
        <v>33.69199849916906</v>
      </c>
      <c r="I52" s="6">
        <f>IF(H51&gt;0,H52/H51,"-")</f>
        <v>0.31071473905614949</v>
      </c>
      <c r="J52" s="4"/>
      <c r="K52" s="51"/>
      <c r="L52" s="51"/>
      <c r="M52" s="51"/>
      <c r="N52" s="51"/>
      <c r="O52" s="51"/>
      <c r="P52" s="51"/>
    </row>
    <row r="53" spans="1:27" x14ac:dyDescent="0.25">
      <c r="A53" s="51"/>
      <c r="F53" s="51"/>
      <c r="G53" s="5" t="s">
        <v>444</v>
      </c>
      <c r="H53" s="61">
        <f>H60/(Prod_CR+Prod_RA+Prod_SG)*10^6</f>
        <v>4.6062964448841326</v>
      </c>
      <c r="I53" s="6">
        <f>IF(H51&gt;0,H53/H51,"-")</f>
        <v>4.2480240461922759E-2</v>
      </c>
      <c r="J53" s="4"/>
      <c r="K53" s="51"/>
      <c r="L53" s="51"/>
      <c r="M53" s="51"/>
      <c r="N53" s="51"/>
      <c r="O53" s="51"/>
      <c r="P53" s="51"/>
    </row>
    <row r="54" spans="1:27" ht="15.75" thickBot="1" x14ac:dyDescent="0.3">
      <c r="A54" s="51"/>
      <c r="F54" s="51"/>
      <c r="G54" s="7"/>
      <c r="H54" s="8"/>
      <c r="I54" s="8"/>
      <c r="J54" s="9"/>
      <c r="K54" s="51"/>
      <c r="L54" s="51"/>
      <c r="M54" s="51"/>
      <c r="N54" s="51"/>
      <c r="O54" s="51"/>
      <c r="P54" s="51"/>
    </row>
    <row r="55" spans="1:27" ht="16.5" thickTop="1" thickBot="1" x14ac:dyDescent="0.3">
      <c r="A55" s="51"/>
      <c r="B55" s="51"/>
      <c r="C55" s="47"/>
      <c r="D55" s="51"/>
      <c r="E55" s="51"/>
      <c r="F55" s="51"/>
      <c r="G55" s="51"/>
      <c r="H55" s="51"/>
      <c r="I55" s="51"/>
      <c r="J55" s="51"/>
      <c r="K55" s="51"/>
      <c r="L55" s="51"/>
      <c r="M55" s="51"/>
      <c r="N55" s="51"/>
      <c r="O55" s="51"/>
      <c r="P55" s="51"/>
    </row>
    <row r="56" spans="1:27" ht="15.75" thickTop="1" x14ac:dyDescent="0.25">
      <c r="A56" s="51"/>
      <c r="B56" s="51"/>
      <c r="C56" s="51"/>
      <c r="D56" s="51"/>
      <c r="E56" s="51"/>
      <c r="F56" s="51"/>
      <c r="G56" s="330" t="s">
        <v>421</v>
      </c>
      <c r="H56" s="331"/>
      <c r="I56" s="331"/>
      <c r="J56" s="332"/>
      <c r="K56" s="51"/>
      <c r="L56" s="51"/>
      <c r="M56" s="51"/>
      <c r="N56" s="51"/>
      <c r="O56" s="51"/>
      <c r="P56" s="51"/>
    </row>
    <row r="57" spans="1:27" x14ac:dyDescent="0.25">
      <c r="G57" s="262"/>
      <c r="H57" s="2" t="s">
        <v>424</v>
      </c>
      <c r="I57" s="259" t="s">
        <v>3</v>
      </c>
      <c r="J57" s="263"/>
    </row>
    <row r="58" spans="1:27" x14ac:dyDescent="0.25">
      <c r="G58" s="264" t="s">
        <v>0</v>
      </c>
      <c r="H58" s="61">
        <f>C41+H41+M41</f>
        <v>52.048252775928553</v>
      </c>
      <c r="I58" s="260">
        <f>IF(H58&gt;0,H58/H58,"-")</f>
        <v>1</v>
      </c>
      <c r="J58" s="263"/>
    </row>
    <row r="59" spans="1:27" x14ac:dyDescent="0.25">
      <c r="G59" s="264" t="s">
        <v>1</v>
      </c>
      <c r="H59" s="61">
        <f>C42+H42+M42</f>
        <v>16.17215927960115</v>
      </c>
      <c r="I59" s="260">
        <f>IF(H58&gt;0,H59/H58,"-")</f>
        <v>0.31071473905614949</v>
      </c>
      <c r="J59" s="263"/>
    </row>
    <row r="60" spans="1:27" x14ac:dyDescent="0.25">
      <c r="G60" s="264" t="s">
        <v>444</v>
      </c>
      <c r="H60" s="61">
        <f>C43+H43+M43</f>
        <v>2.2110222935443837</v>
      </c>
      <c r="I60" s="260">
        <f>IF(H58&gt;0,H60/H58,"-")</f>
        <v>4.2480240461922759E-2</v>
      </c>
      <c r="J60" s="263"/>
    </row>
    <row r="61" spans="1:27" ht="15.75" thickBot="1" x14ac:dyDescent="0.3">
      <c r="G61" s="265"/>
      <c r="H61" s="266"/>
      <c r="I61" s="266"/>
      <c r="J61" s="267"/>
    </row>
    <row r="62" spans="1:27" s="244" customFormat="1" hidden="1" x14ac:dyDescent="0.25">
      <c r="S62" s="333" t="s">
        <v>438</v>
      </c>
      <c r="T62" s="333"/>
      <c r="U62" s="333"/>
      <c r="V62" s="333" t="s">
        <v>4</v>
      </c>
      <c r="W62" s="333"/>
      <c r="X62" s="333"/>
      <c r="Y62" s="333" t="s">
        <v>124</v>
      </c>
      <c r="Z62" s="333"/>
      <c r="AA62" s="333"/>
    </row>
    <row r="63" spans="1:27" s="244" customFormat="1" hidden="1" x14ac:dyDescent="0.25">
      <c r="S63" s="245" t="s">
        <v>425</v>
      </c>
      <c r="T63" s="245" t="s">
        <v>426</v>
      </c>
      <c r="U63" s="245" t="s">
        <v>427</v>
      </c>
      <c r="V63" s="245" t="s">
        <v>425</v>
      </c>
      <c r="W63" s="245" t="s">
        <v>426</v>
      </c>
      <c r="X63" s="245" t="s">
        <v>427</v>
      </c>
      <c r="Y63" s="245" t="s">
        <v>425</v>
      </c>
      <c r="Z63" s="245" t="s">
        <v>426</v>
      </c>
      <c r="AA63" s="245" t="s">
        <v>427</v>
      </c>
    </row>
    <row r="64" spans="1:27" s="244" customFormat="1" hidden="1" x14ac:dyDescent="0.25">
      <c r="Q64" s="244" t="str">
        <f>'EF per step'!A2</f>
        <v>DRILLING AND BLASTING</v>
      </c>
      <c r="S64" s="246">
        <f>'EF per step'!C8</f>
        <v>1.2314089777391322</v>
      </c>
      <c r="T64" s="246">
        <f>'EF per step'!C17</f>
        <v>1.2314089777391322</v>
      </c>
      <c r="U64" s="246">
        <f>'EF per step'!C26</f>
        <v>1.2314089777391322</v>
      </c>
      <c r="V64" s="246">
        <f>'EF per step'!H8</f>
        <v>0</v>
      </c>
      <c r="W64" s="246">
        <f>'EF per step'!H17</f>
        <v>0</v>
      </c>
      <c r="X64" s="246">
        <f>'EF per step'!H26</f>
        <v>0</v>
      </c>
      <c r="Y64" s="246">
        <f>'EF per step'!M8</f>
        <v>0</v>
      </c>
      <c r="Z64" s="246">
        <f>'EF per step'!M17</f>
        <v>0</v>
      </c>
      <c r="AA64" s="246">
        <f>'EF per step'!M26</f>
        <v>0</v>
      </c>
    </row>
    <row r="65" spans="17:27" s="244" customFormat="1" hidden="1" x14ac:dyDescent="0.25">
      <c r="Q65" s="244" t="str">
        <f>'EF per step'!A34</f>
        <v>MATERIAL PROCESSING</v>
      </c>
      <c r="S65" s="246">
        <f>'EF per step'!C40</f>
        <v>27.05</v>
      </c>
      <c r="T65" s="246">
        <f>'EF per step'!C49</f>
        <v>38.6132878875</v>
      </c>
      <c r="U65" s="246">
        <f>'EF per step'!C58</f>
        <v>35.777456600000008</v>
      </c>
      <c r="V65" s="246">
        <f>'EF per step'!H40</f>
        <v>10.215</v>
      </c>
      <c r="W65" s="246">
        <f>'EF per step'!H49</f>
        <v>15.564510075000001</v>
      </c>
      <c r="X65" s="246">
        <f>'EF per step'!H58</f>
        <v>14.519946600000001</v>
      </c>
      <c r="Y65" s="246">
        <f>'EF per step'!M40</f>
        <v>19.7</v>
      </c>
      <c r="Z65" s="246">
        <f>'EF per step'!M49</f>
        <v>30.766975650000003</v>
      </c>
      <c r="AA65" s="246">
        <f>'EF per step'!M58</f>
        <v>28.501877199999999</v>
      </c>
    </row>
    <row r="66" spans="17:27" s="244" customFormat="1" hidden="1" x14ac:dyDescent="0.25">
      <c r="Q66" s="244" t="str">
        <f>'EF per step'!A66</f>
        <v>INTERNAL TRANSPORT</v>
      </c>
      <c r="S66" s="246">
        <f>'EF per step'!C72</f>
        <v>555.99893903810164</v>
      </c>
      <c r="T66" s="246">
        <f>'EF per step'!C81</f>
        <v>137.26526588610847</v>
      </c>
      <c r="U66" s="246">
        <f>'EF per step'!C90</f>
        <v>47.464875966133448</v>
      </c>
      <c r="V66" s="246">
        <f>'EF per step'!H72</f>
        <v>31.350675871619405</v>
      </c>
      <c r="W66" s="246">
        <f>'EF per step'!H81</f>
        <v>13.057869711222603</v>
      </c>
      <c r="X66" s="246">
        <f>'EF per step'!H90</f>
        <v>0</v>
      </c>
      <c r="Y66" s="246">
        <f>'EF per step'!M72</f>
        <v>0</v>
      </c>
      <c r="Z66" s="246">
        <f>'EF per step'!M81</f>
        <v>0</v>
      </c>
      <c r="AA66" s="246">
        <f>'EF per step'!M90</f>
        <v>0</v>
      </c>
    </row>
    <row r="67" spans="17:27" s="244" customFormat="1" hidden="1" x14ac:dyDescent="0.25">
      <c r="Q67" s="244" t="str">
        <f>'EF per step'!A98</f>
        <v>MATERIAL HANDLING OPERATION</v>
      </c>
      <c r="S67" s="246">
        <f>'EF per step'!C104</f>
        <v>4.0778780049071779</v>
      </c>
      <c r="T67" s="246">
        <f>'EF per step'!C113</f>
        <v>4.1970073506091259</v>
      </c>
      <c r="U67" s="246">
        <f>'EF per step'!C122</f>
        <v>4.3643301551233566</v>
      </c>
      <c r="V67" s="246">
        <f>'EF per step'!H104</f>
        <v>0.8759200600565239</v>
      </c>
      <c r="W67" s="246">
        <f>'EF per step'!H113</f>
        <v>0.90150880584935422</v>
      </c>
      <c r="X67" s="246">
        <f>'EF per step'!H122</f>
        <v>0.93744941044874752</v>
      </c>
      <c r="Y67" s="246">
        <f>'EF per step'!M104</f>
        <v>4.0778780049071788</v>
      </c>
      <c r="Z67" s="246">
        <f>'EF per step'!M113</f>
        <v>4.197007350609125</v>
      </c>
      <c r="AA67" s="246">
        <f>'EF per step'!M122</f>
        <v>0.21060341950302058</v>
      </c>
    </row>
    <row r="68" spans="17:27" s="244" customFormat="1" hidden="1" x14ac:dyDescent="0.25">
      <c r="Q68" s="244" t="str">
        <f>'EF per step'!A130</f>
        <v>WIND EROSION FROM STOCKPILES</v>
      </c>
      <c r="S68" s="246">
        <f>'EF per step'!C136</f>
        <v>7.8379241699851248</v>
      </c>
      <c r="T68" s="246">
        <f>'EF per step'!C145</f>
        <v>2.4565755219640697</v>
      </c>
      <c r="U68" s="246">
        <f>'EF per step'!C154</f>
        <v>1.2291052728792444</v>
      </c>
      <c r="V68" s="246">
        <f>'EF per step'!H136</f>
        <v>3.9032485748313013</v>
      </c>
      <c r="W68" s="246">
        <f>'EF per step'!H145</f>
        <v>1.2151722536966008</v>
      </c>
      <c r="X68" s="246">
        <f>'EF per step'!H154</f>
        <v>0.49854805147291364</v>
      </c>
      <c r="Y68" s="246">
        <f>'EF per step'!M136</f>
        <v>7.9229775377105387</v>
      </c>
      <c r="Z68" s="246">
        <f>'EF per step'!M145</f>
        <v>2.4670810657026681</v>
      </c>
      <c r="AA68" s="246">
        <f>'EF per step'!M154</f>
        <v>6.1208262826411564E-2</v>
      </c>
    </row>
    <row r="69" spans="17:27" s="244" customFormat="1" hidden="1" x14ac:dyDescent="0.25">
      <c r="S69" s="246">
        <f t="shared" ref="S69:AA69" si="0">SUM(S64:S68)</f>
        <v>596.19615019073319</v>
      </c>
      <c r="T69" s="246">
        <f t="shared" si="0"/>
        <v>183.76354562392081</v>
      </c>
      <c r="U69" s="246">
        <f t="shared" si="0"/>
        <v>90.067176971875185</v>
      </c>
      <c r="V69" s="246">
        <f t="shared" si="0"/>
        <v>46.344844506507229</v>
      </c>
      <c r="W69" s="246">
        <f t="shared" si="0"/>
        <v>30.739060845768556</v>
      </c>
      <c r="X69" s="246">
        <f t="shared" si="0"/>
        <v>15.955944061921663</v>
      </c>
      <c r="Y69" s="246">
        <f t="shared" si="0"/>
        <v>31.700855542617717</v>
      </c>
      <c r="Z69" s="246">
        <f t="shared" si="0"/>
        <v>37.431064066311791</v>
      </c>
      <c r="AA69" s="246">
        <f t="shared" si="0"/>
        <v>28.773688882329431</v>
      </c>
    </row>
    <row r="70" spans="17:27" ht="15.75" thickTop="1" x14ac:dyDescent="0.25"/>
  </sheetData>
  <mergeCells count="25">
    <mergeCell ref="A11:P11"/>
    <mergeCell ref="S62:U62"/>
    <mergeCell ref="V62:X62"/>
    <mergeCell ref="Y62:AA62"/>
    <mergeCell ref="A2:P2"/>
    <mergeCell ref="B4:E4"/>
    <mergeCell ref="G4:J4"/>
    <mergeCell ref="L4:O4"/>
    <mergeCell ref="B13:E13"/>
    <mergeCell ref="G13:J13"/>
    <mergeCell ref="L13:O13"/>
    <mergeCell ref="A20:P20"/>
    <mergeCell ref="B22:E22"/>
    <mergeCell ref="G22:J22"/>
    <mergeCell ref="L22:O22"/>
    <mergeCell ref="A47:P47"/>
    <mergeCell ref="G49:J49"/>
    <mergeCell ref="G56:J56"/>
    <mergeCell ref="A30:P30"/>
    <mergeCell ref="B32:E32"/>
    <mergeCell ref="G32:J32"/>
    <mergeCell ref="L32:O32"/>
    <mergeCell ref="B39:E39"/>
    <mergeCell ref="G39:J39"/>
    <mergeCell ref="L39:O39"/>
  </mergeCells>
  <conditionalFormatting sqref="C6:C8">
    <cfRule type="expression" dxfId="381" priority="97">
      <formula>C6=0</formula>
    </cfRule>
    <cfRule type="expression" dxfId="380" priority="98">
      <formula>C6&lt;0.01</formula>
    </cfRule>
    <cfRule type="expression" dxfId="379" priority="99">
      <formula>C6&lt;0.1</formula>
    </cfRule>
    <cfRule type="expression" dxfId="378" priority="100">
      <formula>C6&lt;1</formula>
    </cfRule>
    <cfRule type="expression" dxfId="377" priority="101">
      <formula>C6&lt;10</formula>
    </cfRule>
    <cfRule type="expression" dxfId="376" priority="102">
      <formula>C6&gt;10</formula>
    </cfRule>
  </conditionalFormatting>
  <conditionalFormatting sqref="H6:H8">
    <cfRule type="expression" dxfId="375" priority="91">
      <formula>H6=0</formula>
    </cfRule>
    <cfRule type="expression" dxfId="374" priority="92">
      <formula>H6&lt;0.01</formula>
    </cfRule>
    <cfRule type="expression" dxfId="373" priority="93">
      <formula>H6&lt;0.1</formula>
    </cfRule>
    <cfRule type="expression" dxfId="372" priority="94">
      <formula>H6&lt;1</formula>
    </cfRule>
    <cfRule type="expression" dxfId="371" priority="95">
      <formula>H6&lt;10</formula>
    </cfRule>
    <cfRule type="expression" dxfId="370" priority="96">
      <formula>H6&gt;10</formula>
    </cfRule>
  </conditionalFormatting>
  <conditionalFormatting sqref="M6:M8">
    <cfRule type="expression" dxfId="369" priority="85">
      <formula>M6=0</formula>
    </cfRule>
    <cfRule type="expression" dxfId="368" priority="86">
      <formula>M6&lt;0.01</formula>
    </cfRule>
    <cfRule type="expression" dxfId="367" priority="87">
      <formula>M6&lt;0.1</formula>
    </cfRule>
    <cfRule type="expression" dxfId="366" priority="88">
      <formula>M6&lt;1</formula>
    </cfRule>
    <cfRule type="expression" dxfId="365" priority="89">
      <formula>M6&lt;10</formula>
    </cfRule>
    <cfRule type="expression" dxfId="364" priority="90">
      <formula>M6&gt;10</formula>
    </cfRule>
  </conditionalFormatting>
  <conditionalFormatting sqref="C15:C17">
    <cfRule type="expression" dxfId="363" priority="79">
      <formula>C15=0</formula>
    </cfRule>
    <cfRule type="expression" dxfId="362" priority="80">
      <formula>C15&lt;0.01</formula>
    </cfRule>
    <cfRule type="expression" dxfId="361" priority="81">
      <formula>C15&lt;0.1</formula>
    </cfRule>
    <cfRule type="expression" dxfId="360" priority="82">
      <formula>C15&lt;1</formula>
    </cfRule>
    <cfRule type="expression" dxfId="359" priority="83">
      <formula>C15&lt;10</formula>
    </cfRule>
    <cfRule type="expression" dxfId="358" priority="84">
      <formula>C15&gt;10</formula>
    </cfRule>
  </conditionalFormatting>
  <conditionalFormatting sqref="H15:H17">
    <cfRule type="expression" dxfId="357" priority="73">
      <formula>H15=0</formula>
    </cfRule>
    <cfRule type="expression" dxfId="356" priority="74">
      <formula>H15&lt;0.01</formula>
    </cfRule>
    <cfRule type="expression" dxfId="355" priority="75">
      <formula>H15&lt;0.1</formula>
    </cfRule>
    <cfRule type="expression" dxfId="354" priority="76">
      <formula>H15&lt;1</formula>
    </cfRule>
    <cfRule type="expression" dxfId="353" priority="77">
      <formula>H15&lt;10</formula>
    </cfRule>
    <cfRule type="expression" dxfId="352" priority="78">
      <formula>H15&gt;10</formula>
    </cfRule>
  </conditionalFormatting>
  <conditionalFormatting sqref="M15:M17">
    <cfRule type="expression" dxfId="351" priority="67">
      <formula>M15=0</formula>
    </cfRule>
    <cfRule type="expression" dxfId="350" priority="68">
      <formula>M15&lt;0.01</formula>
    </cfRule>
    <cfRule type="expression" dxfId="349" priority="69">
      <formula>M15&lt;0.1</formula>
    </cfRule>
    <cfRule type="expression" dxfId="348" priority="70">
      <formula>M15&lt;1</formula>
    </cfRule>
    <cfRule type="expression" dxfId="347" priority="71">
      <formula>M15&lt;10</formula>
    </cfRule>
    <cfRule type="expression" dxfId="346" priority="72">
      <formula>M15&gt;10</formula>
    </cfRule>
  </conditionalFormatting>
  <conditionalFormatting sqref="C24:C26">
    <cfRule type="expression" dxfId="345" priority="61">
      <formula>C24=0</formula>
    </cfRule>
    <cfRule type="expression" dxfId="344" priority="62">
      <formula>C24&lt;0.01</formula>
    </cfRule>
    <cfRule type="expression" dxfId="343" priority="63">
      <formula>C24&lt;0.1</formula>
    </cfRule>
    <cfRule type="expression" dxfId="342" priority="64">
      <formula>C24&lt;1</formula>
    </cfRule>
    <cfRule type="expression" dxfId="341" priority="65">
      <formula>C24&lt;10</formula>
    </cfRule>
    <cfRule type="expression" dxfId="340" priority="66">
      <formula>C24&gt;10</formula>
    </cfRule>
  </conditionalFormatting>
  <conditionalFormatting sqref="H24:H26">
    <cfRule type="expression" dxfId="339" priority="55">
      <formula>H24=0</formula>
    </cfRule>
    <cfRule type="expression" dxfId="338" priority="56">
      <formula>H24&lt;0.01</formula>
    </cfRule>
    <cfRule type="expression" dxfId="337" priority="57">
      <formula>H24&lt;0.1</formula>
    </cfRule>
    <cfRule type="expression" dxfId="336" priority="58">
      <formula>H24&lt;1</formula>
    </cfRule>
    <cfRule type="expression" dxfId="335" priority="59">
      <formula>H24&lt;10</formula>
    </cfRule>
    <cfRule type="expression" dxfId="334" priority="60">
      <formula>H24&gt;10</formula>
    </cfRule>
  </conditionalFormatting>
  <conditionalFormatting sqref="M24:M26">
    <cfRule type="expression" dxfId="333" priority="49">
      <formula>M24=0</formula>
    </cfRule>
    <cfRule type="expression" dxfId="332" priority="50">
      <formula>M24&lt;0.01</formula>
    </cfRule>
    <cfRule type="expression" dxfId="331" priority="51">
      <formula>M24&lt;0.1</formula>
    </cfRule>
    <cfRule type="expression" dxfId="330" priority="52">
      <formula>M24&lt;1</formula>
    </cfRule>
    <cfRule type="expression" dxfId="329" priority="53">
      <formula>M24&lt;10</formula>
    </cfRule>
    <cfRule type="expression" dxfId="328" priority="54">
      <formula>M24&gt;10</formula>
    </cfRule>
  </conditionalFormatting>
  <conditionalFormatting sqref="M41:M43">
    <cfRule type="expression" dxfId="327" priority="13">
      <formula>M41=0</formula>
    </cfRule>
    <cfRule type="expression" dxfId="326" priority="14">
      <formula>M41&lt;0.01</formula>
    </cfRule>
    <cfRule type="expression" dxfId="325" priority="15">
      <formula>M41&lt;0.1</formula>
    </cfRule>
    <cfRule type="expression" dxfId="324" priority="16">
      <formula>M41&lt;1</formula>
    </cfRule>
    <cfRule type="expression" dxfId="323" priority="17">
      <formula>M41&lt;10</formula>
    </cfRule>
    <cfRule type="expression" dxfId="322" priority="18">
      <formula>M41&gt;10</formula>
    </cfRule>
  </conditionalFormatting>
  <conditionalFormatting sqref="C34:C36">
    <cfRule type="expression" dxfId="321" priority="37">
      <formula>C34=0</formula>
    </cfRule>
    <cfRule type="expression" dxfId="320" priority="38">
      <formula>C34&lt;0.01</formula>
    </cfRule>
    <cfRule type="expression" dxfId="319" priority="39">
      <formula>C34&lt;0.1</formula>
    </cfRule>
    <cfRule type="expression" dxfId="318" priority="40">
      <formula>C34&lt;1</formula>
    </cfRule>
    <cfRule type="expression" dxfId="317" priority="41">
      <formula>C34&lt;10</formula>
    </cfRule>
    <cfRule type="expression" dxfId="316" priority="42">
      <formula>C34&gt;10</formula>
    </cfRule>
  </conditionalFormatting>
  <conditionalFormatting sqref="H34:H36">
    <cfRule type="expression" dxfId="315" priority="31">
      <formula>H34=0</formula>
    </cfRule>
    <cfRule type="expression" dxfId="314" priority="32">
      <formula>H34&lt;0.01</formula>
    </cfRule>
    <cfRule type="expression" dxfId="313" priority="33">
      <formula>H34&lt;0.1</formula>
    </cfRule>
    <cfRule type="expression" dxfId="312" priority="34">
      <formula>H34&lt;1</formula>
    </cfRule>
    <cfRule type="expression" dxfId="311" priority="35">
      <formula>H34&lt;10</formula>
    </cfRule>
    <cfRule type="expression" dxfId="310" priority="36">
      <formula>H34&gt;10</formula>
    </cfRule>
  </conditionalFormatting>
  <conditionalFormatting sqref="H41:H43">
    <cfRule type="expression" dxfId="309" priority="25">
      <formula>H41=0</formula>
    </cfRule>
    <cfRule type="expression" dxfId="308" priority="26">
      <formula>H41&lt;0.01</formula>
    </cfRule>
    <cfRule type="expression" dxfId="307" priority="27">
      <formula>H41&lt;0.1</formula>
    </cfRule>
    <cfRule type="expression" dxfId="306" priority="28">
      <formula>H41&lt;1</formula>
    </cfRule>
    <cfRule type="expression" dxfId="305" priority="29">
      <formula>H41&lt;10</formula>
    </cfRule>
    <cfRule type="expression" dxfId="304" priority="30">
      <formula>H41&gt;10</formula>
    </cfRule>
  </conditionalFormatting>
  <conditionalFormatting sqref="M34:M36">
    <cfRule type="expression" dxfId="303" priority="19">
      <formula>M34=0</formula>
    </cfRule>
    <cfRule type="expression" dxfId="302" priority="20">
      <formula>M34&lt;0.01</formula>
    </cfRule>
    <cfRule type="expression" dxfId="301" priority="21">
      <formula>M34&lt;0.1</formula>
    </cfRule>
    <cfRule type="expression" dxfId="300" priority="22">
      <formula>M34&lt;1</formula>
    </cfRule>
    <cfRule type="expression" dxfId="299" priority="23">
      <formula>M34&lt;10</formula>
    </cfRule>
    <cfRule type="expression" dxfId="298" priority="24">
      <formula>M34&gt;10</formula>
    </cfRule>
  </conditionalFormatting>
  <conditionalFormatting sqref="C41:C43">
    <cfRule type="expression" dxfId="297" priority="43">
      <formula>C41=0</formula>
    </cfRule>
    <cfRule type="expression" dxfId="296" priority="44">
      <formula>C41&lt;0.01</formula>
    </cfRule>
    <cfRule type="expression" dxfId="295" priority="45">
      <formula>C41&lt;0.1</formula>
    </cfRule>
    <cfRule type="expression" dxfId="294" priority="46">
      <formula>C41&lt;1</formula>
    </cfRule>
    <cfRule type="expression" dxfId="293" priority="47">
      <formula>C41&lt;10</formula>
    </cfRule>
    <cfRule type="expression" dxfId="292" priority="48">
      <formula>C41&gt;10</formula>
    </cfRule>
  </conditionalFormatting>
  <conditionalFormatting sqref="H58:H60">
    <cfRule type="expression" dxfId="291" priority="7">
      <formula>H58=0</formula>
    </cfRule>
    <cfRule type="expression" dxfId="290" priority="8">
      <formula>H58&lt;0.01</formula>
    </cfRule>
    <cfRule type="expression" dxfId="289" priority="9">
      <formula>H58&lt;0.1</formula>
    </cfRule>
    <cfRule type="expression" dxfId="288" priority="10">
      <formula>H58&lt;1</formula>
    </cfRule>
    <cfRule type="expression" dxfId="287" priority="11">
      <formula>H58&lt;10</formula>
    </cfRule>
    <cfRule type="expression" dxfId="286" priority="12">
      <formula>H58&gt;10</formula>
    </cfRule>
  </conditionalFormatting>
  <conditionalFormatting sqref="H51:H53">
    <cfRule type="expression" dxfId="285" priority="1">
      <formula>H51=0</formula>
    </cfRule>
    <cfRule type="expression" dxfId="284" priority="2">
      <formula>H51&lt;0.01</formula>
    </cfRule>
    <cfRule type="expression" dxfId="283" priority="3">
      <formula>H51&lt;0.1</formula>
    </cfRule>
    <cfRule type="expression" dxfId="282" priority="4">
      <formula>H51&lt;1</formula>
    </cfRule>
    <cfRule type="expression" dxfId="281" priority="5">
      <formula>H51&lt;10</formula>
    </cfRule>
    <cfRule type="expression" dxfId="280" priority="6">
      <formula>H51&gt;10</formula>
    </cfRule>
  </conditionalFormatting>
  <pageMargins left="0.7" right="0.7" top="0.75" bottom="0.75" header="0.3" footer="0.3"/>
  <pageSetup paperSize="9" scale="97" orientation="landscape" r:id="rId1"/>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FF99CC"/>
  </sheetPr>
  <dimension ref="A2:T158"/>
  <sheetViews>
    <sheetView view="pageBreakPreview" zoomScaleNormal="100" zoomScaleSheetLayoutView="100" workbookViewId="0">
      <selection activeCell="A2" sqref="A2:P2"/>
    </sheetView>
  </sheetViews>
  <sheetFormatPr baseColWidth="10" defaultRowHeight="15" x14ac:dyDescent="0.25"/>
  <cols>
    <col min="1" max="1" width="5" customWidth="1"/>
    <col min="2" max="2" width="6.42578125" bestFit="1" customWidth="1"/>
    <col min="3" max="3" width="8.42578125" customWidth="1"/>
    <col min="4" max="4" width="18.85546875" bestFit="1" customWidth="1"/>
    <col min="5" max="5" width="2.140625" customWidth="1"/>
    <col min="6" max="6" width="5.7109375" customWidth="1"/>
    <col min="7" max="7" width="6.42578125" bestFit="1" customWidth="1"/>
    <col min="8" max="8" width="8.28515625" bestFit="1" customWidth="1"/>
    <col min="9" max="9" width="18.85546875" bestFit="1" customWidth="1"/>
    <col min="10" max="10" width="2.140625" customWidth="1"/>
    <col min="11" max="11" width="6.85546875" customWidth="1"/>
    <col min="12" max="12" width="6.42578125" bestFit="1" customWidth="1"/>
    <col min="13" max="13" width="8.28515625" bestFit="1" customWidth="1"/>
    <col min="14" max="14" width="18.85546875" bestFit="1" customWidth="1"/>
    <col min="15" max="15" width="2.140625" customWidth="1"/>
    <col min="16" max="16" width="6.140625" customWidth="1"/>
  </cols>
  <sheetData>
    <row r="2" spans="1:20" x14ac:dyDescent="0.25">
      <c r="A2" s="309" t="s">
        <v>8</v>
      </c>
      <c r="B2" s="309"/>
      <c r="C2" s="309"/>
      <c r="D2" s="309"/>
      <c r="E2" s="309"/>
      <c r="F2" s="309"/>
      <c r="G2" s="309"/>
      <c r="H2" s="309"/>
      <c r="I2" s="309"/>
      <c r="J2" s="309"/>
      <c r="K2" s="309"/>
      <c r="L2" s="309"/>
      <c r="M2" s="309"/>
      <c r="N2" s="309"/>
      <c r="O2" s="309"/>
      <c r="P2" s="309"/>
      <c r="Q2" s="10"/>
      <c r="R2" s="10"/>
      <c r="S2" s="10"/>
      <c r="T2" s="10"/>
    </row>
    <row r="4" spans="1:20" x14ac:dyDescent="0.25">
      <c r="B4" s="309" t="s">
        <v>6</v>
      </c>
      <c r="C4" s="309"/>
      <c r="D4" s="309"/>
      <c r="E4" s="309"/>
      <c r="F4" s="309"/>
      <c r="G4" s="309"/>
      <c r="H4" s="309"/>
      <c r="I4" s="309"/>
      <c r="J4" s="309"/>
      <c r="K4" s="309"/>
      <c r="L4" s="309"/>
      <c r="M4" s="309"/>
      <c r="N4" s="309"/>
      <c r="O4" s="309"/>
      <c r="P4" s="10"/>
      <c r="Q4" s="10"/>
      <c r="R4" s="10"/>
    </row>
    <row r="5" spans="1:20" ht="15.75" thickBot="1" x14ac:dyDescent="0.3"/>
    <row r="6" spans="1:20" ht="15.75" thickTop="1" x14ac:dyDescent="0.25">
      <c r="B6" s="327" t="s">
        <v>2</v>
      </c>
      <c r="C6" s="328"/>
      <c r="D6" s="328"/>
      <c r="E6" s="329"/>
      <c r="G6" s="327" t="s">
        <v>4</v>
      </c>
      <c r="H6" s="328"/>
      <c r="I6" s="328"/>
      <c r="J6" s="329"/>
      <c r="L6" s="327" t="s">
        <v>124</v>
      </c>
      <c r="M6" s="328"/>
      <c r="N6" s="328"/>
      <c r="O6" s="329"/>
    </row>
    <row r="7" spans="1:20" ht="15" customHeight="1" x14ac:dyDescent="0.25">
      <c r="B7" s="1"/>
      <c r="C7" s="2" t="s">
        <v>132</v>
      </c>
      <c r="D7" s="3" t="s">
        <v>3</v>
      </c>
      <c r="E7" s="4"/>
      <c r="G7" s="334" t="s">
        <v>261</v>
      </c>
      <c r="H7" s="335"/>
      <c r="I7" s="335"/>
      <c r="J7" s="336"/>
      <c r="L7" s="334" t="s">
        <v>261</v>
      </c>
      <c r="M7" s="335"/>
      <c r="N7" s="335"/>
      <c r="O7" s="336"/>
    </row>
    <row r="8" spans="1:20" ht="15" customHeight="1" x14ac:dyDescent="0.25">
      <c r="B8" s="5" t="s">
        <v>0</v>
      </c>
      <c r="C8" s="61">
        <f>'1 - DRILLING AND BLASTING'!C33</f>
        <v>1.2314089777391322</v>
      </c>
      <c r="D8" s="68">
        <f>IF(C8&gt;0,C8/C8,"-")</f>
        <v>1</v>
      </c>
      <c r="E8" s="4"/>
      <c r="G8" s="334"/>
      <c r="H8" s="335"/>
      <c r="I8" s="335"/>
      <c r="J8" s="336"/>
      <c r="L8" s="334"/>
      <c r="M8" s="335"/>
      <c r="N8" s="335"/>
      <c r="O8" s="336"/>
    </row>
    <row r="9" spans="1:20" x14ac:dyDescent="0.25">
      <c r="B9" s="5" t="s">
        <v>1</v>
      </c>
      <c r="C9" s="61">
        <f>'1 - DRILLING AND BLASTING'!C34</f>
        <v>0.64689677098845144</v>
      </c>
      <c r="D9" s="68">
        <f>IF(C8&gt;0,C9/C8,"-")</f>
        <v>0.52533056253670851</v>
      </c>
      <c r="E9" s="4"/>
      <c r="G9" s="334"/>
      <c r="H9" s="335"/>
      <c r="I9" s="335"/>
      <c r="J9" s="336"/>
      <c r="L9" s="334"/>
      <c r="M9" s="335"/>
      <c r="N9" s="335"/>
      <c r="O9" s="336"/>
    </row>
    <row r="10" spans="1:20" x14ac:dyDescent="0.25">
      <c r="B10" s="5" t="s">
        <v>444</v>
      </c>
      <c r="C10" s="61">
        <f>'1 - DRILLING AND BLASTING'!C35</f>
        <v>0.63653201292191752</v>
      </c>
      <c r="D10" s="68">
        <f>IF(C8&gt;0,C10/C8,"-")</f>
        <v>0.51691357171245478</v>
      </c>
      <c r="E10" s="4"/>
      <c r="G10" s="334"/>
      <c r="H10" s="335"/>
      <c r="I10" s="335"/>
      <c r="J10" s="336"/>
      <c r="L10" s="334"/>
      <c r="M10" s="335"/>
      <c r="N10" s="335"/>
      <c r="O10" s="336"/>
    </row>
    <row r="11" spans="1:20" ht="15.75" thickBot="1" x14ac:dyDescent="0.3">
      <c r="B11" s="7"/>
      <c r="C11" s="8"/>
      <c r="D11" s="8"/>
      <c r="E11" s="9"/>
      <c r="G11" s="337"/>
      <c r="H11" s="338"/>
      <c r="I11" s="338"/>
      <c r="J11" s="339"/>
      <c r="L11" s="337"/>
      <c r="M11" s="338"/>
      <c r="N11" s="338"/>
      <c r="O11" s="339"/>
    </row>
    <row r="12" spans="1:20" ht="15.75" thickTop="1" x14ac:dyDescent="0.25"/>
    <row r="13" spans="1:20" x14ac:dyDescent="0.25">
      <c r="B13" s="309" t="s">
        <v>5</v>
      </c>
      <c r="C13" s="309"/>
      <c r="D13" s="309"/>
      <c r="E13" s="309"/>
      <c r="F13" s="309"/>
      <c r="G13" s="309"/>
      <c r="H13" s="309"/>
      <c r="I13" s="309"/>
      <c r="J13" s="309"/>
      <c r="K13" s="309"/>
      <c r="L13" s="309"/>
      <c r="M13" s="309"/>
      <c r="N13" s="309"/>
      <c r="O13" s="309"/>
    </row>
    <row r="14" spans="1:20" ht="15.75" thickBot="1" x14ac:dyDescent="0.3"/>
    <row r="15" spans="1:20" ht="15.75" thickTop="1" x14ac:dyDescent="0.25">
      <c r="B15" s="327" t="s">
        <v>2</v>
      </c>
      <c r="C15" s="328"/>
      <c r="D15" s="328"/>
      <c r="E15" s="329"/>
      <c r="G15" s="327" t="s">
        <v>4</v>
      </c>
      <c r="H15" s="328"/>
      <c r="I15" s="328"/>
      <c r="J15" s="329"/>
      <c r="L15" s="327" t="s">
        <v>124</v>
      </c>
      <c r="M15" s="328"/>
      <c r="N15" s="328"/>
      <c r="O15" s="329"/>
    </row>
    <row r="16" spans="1:20" ht="15" customHeight="1" x14ac:dyDescent="0.25">
      <c r="B16" s="1"/>
      <c r="C16" s="2" t="s">
        <v>132</v>
      </c>
      <c r="D16" s="3" t="s">
        <v>3</v>
      </c>
      <c r="E16" s="4"/>
      <c r="G16" s="334" t="s">
        <v>260</v>
      </c>
      <c r="H16" s="335"/>
      <c r="I16" s="335"/>
      <c r="J16" s="336"/>
      <c r="L16" s="334" t="s">
        <v>261</v>
      </c>
      <c r="M16" s="335"/>
      <c r="N16" s="335"/>
      <c r="O16" s="336"/>
    </row>
    <row r="17" spans="2:15" ht="15" customHeight="1" x14ac:dyDescent="0.25">
      <c r="B17" s="5" t="s">
        <v>0</v>
      </c>
      <c r="C17" s="61">
        <f>'1 - DRILLING AND BLASTING'!C33</f>
        <v>1.2314089777391322</v>
      </c>
      <c r="D17" s="68">
        <f>IF(C17&gt;0,C17/C17,"-")</f>
        <v>1</v>
      </c>
      <c r="E17" s="4"/>
      <c r="G17" s="334"/>
      <c r="H17" s="335"/>
      <c r="I17" s="335"/>
      <c r="J17" s="336"/>
      <c r="L17" s="334"/>
      <c r="M17" s="335"/>
      <c r="N17" s="335"/>
      <c r="O17" s="336"/>
    </row>
    <row r="18" spans="2:15" x14ac:dyDescent="0.25">
      <c r="B18" s="5" t="s">
        <v>1</v>
      </c>
      <c r="C18" s="61">
        <f>'1 - DRILLING AND BLASTING'!C34</f>
        <v>0.64689677098845144</v>
      </c>
      <c r="D18" s="68">
        <f>IF(C17&gt;0,C18/C17,"-")</f>
        <v>0.52533056253670851</v>
      </c>
      <c r="E18" s="4"/>
      <c r="G18" s="334"/>
      <c r="H18" s="335"/>
      <c r="I18" s="335"/>
      <c r="J18" s="336"/>
      <c r="L18" s="334"/>
      <c r="M18" s="335"/>
      <c r="N18" s="335"/>
      <c r="O18" s="336"/>
    </row>
    <row r="19" spans="2:15" x14ac:dyDescent="0.25">
      <c r="B19" s="5" t="s">
        <v>444</v>
      </c>
      <c r="C19" s="61">
        <f>'1 - DRILLING AND BLASTING'!C35</f>
        <v>0.63653201292191752</v>
      </c>
      <c r="D19" s="68">
        <f>IF(C17&gt;0,C19/C17,"-")</f>
        <v>0.51691357171245478</v>
      </c>
      <c r="E19" s="4"/>
      <c r="G19" s="334"/>
      <c r="H19" s="335"/>
      <c r="I19" s="335"/>
      <c r="J19" s="336"/>
      <c r="L19" s="334"/>
      <c r="M19" s="335"/>
      <c r="N19" s="335"/>
      <c r="O19" s="336"/>
    </row>
    <row r="20" spans="2:15" ht="15.75" thickBot="1" x14ac:dyDescent="0.3">
      <c r="B20" s="7"/>
      <c r="C20" s="8"/>
      <c r="D20" s="8"/>
      <c r="E20" s="9"/>
      <c r="G20" s="337"/>
      <c r="H20" s="338"/>
      <c r="I20" s="338"/>
      <c r="J20" s="339"/>
      <c r="L20" s="337"/>
      <c r="M20" s="338"/>
      <c r="N20" s="338"/>
      <c r="O20" s="339"/>
    </row>
    <row r="21" spans="2:15" ht="15.75" thickTop="1" x14ac:dyDescent="0.25"/>
    <row r="22" spans="2:15" x14ac:dyDescent="0.25">
      <c r="B22" s="309" t="s">
        <v>7</v>
      </c>
      <c r="C22" s="309"/>
      <c r="D22" s="309"/>
      <c r="E22" s="309"/>
      <c r="F22" s="309"/>
      <c r="G22" s="309"/>
      <c r="H22" s="309"/>
      <c r="I22" s="309"/>
      <c r="J22" s="309"/>
      <c r="K22" s="309"/>
      <c r="L22" s="309"/>
      <c r="M22" s="309"/>
      <c r="N22" s="309"/>
      <c r="O22" s="309"/>
    </row>
    <row r="23" spans="2:15" ht="15.75" thickBot="1" x14ac:dyDescent="0.3"/>
    <row r="24" spans="2:15" ht="15.75" thickTop="1" x14ac:dyDescent="0.25">
      <c r="B24" s="327" t="s">
        <v>2</v>
      </c>
      <c r="C24" s="328"/>
      <c r="D24" s="328"/>
      <c r="E24" s="329"/>
      <c r="F24" s="51"/>
      <c r="G24" s="327" t="s">
        <v>4</v>
      </c>
      <c r="H24" s="328"/>
      <c r="I24" s="328"/>
      <c r="J24" s="329"/>
      <c r="K24" s="51"/>
      <c r="L24" s="327" t="s">
        <v>124</v>
      </c>
      <c r="M24" s="328"/>
      <c r="N24" s="328"/>
      <c r="O24" s="329"/>
    </row>
    <row r="25" spans="2:15" x14ac:dyDescent="0.25">
      <c r="B25" s="1"/>
      <c r="C25" s="2" t="s">
        <v>132</v>
      </c>
      <c r="D25" s="3" t="s">
        <v>3</v>
      </c>
      <c r="E25" s="4"/>
      <c r="F25" s="51"/>
      <c r="G25" s="334" t="s">
        <v>261</v>
      </c>
      <c r="H25" s="335"/>
      <c r="I25" s="335"/>
      <c r="J25" s="336"/>
      <c r="K25" s="51"/>
      <c r="L25" s="334" t="s">
        <v>261</v>
      </c>
      <c r="M25" s="335"/>
      <c r="N25" s="335"/>
      <c r="O25" s="336"/>
    </row>
    <row r="26" spans="2:15" ht="15" customHeight="1" x14ac:dyDescent="0.25">
      <c r="B26" s="5" t="s">
        <v>0</v>
      </c>
      <c r="C26" s="61">
        <f>'1 - DRILLING AND BLASTING'!C33</f>
        <v>1.2314089777391322</v>
      </c>
      <c r="D26" s="68">
        <f>IF(C26&gt;0,C26/C26,"-")</f>
        <v>1</v>
      </c>
      <c r="E26" s="4"/>
      <c r="F26" s="51"/>
      <c r="G26" s="334"/>
      <c r="H26" s="335"/>
      <c r="I26" s="335"/>
      <c r="J26" s="336"/>
      <c r="K26" s="51"/>
      <c r="L26" s="334"/>
      <c r="M26" s="335"/>
      <c r="N26" s="335"/>
      <c r="O26" s="336"/>
    </row>
    <row r="27" spans="2:15" x14ac:dyDescent="0.25">
      <c r="B27" s="5" t="s">
        <v>1</v>
      </c>
      <c r="C27" s="61">
        <f>'1 - DRILLING AND BLASTING'!C34</f>
        <v>0.64689677098845144</v>
      </c>
      <c r="D27" s="68">
        <f>IF(C26&gt;0,C27/C26,"-")</f>
        <v>0.52533056253670851</v>
      </c>
      <c r="E27" s="4"/>
      <c r="F27" s="51"/>
      <c r="G27" s="334"/>
      <c r="H27" s="335"/>
      <c r="I27" s="335"/>
      <c r="J27" s="336"/>
      <c r="K27" s="51"/>
      <c r="L27" s="334"/>
      <c r="M27" s="335"/>
      <c r="N27" s="335"/>
      <c r="O27" s="336"/>
    </row>
    <row r="28" spans="2:15" x14ac:dyDescent="0.25">
      <c r="B28" s="5" t="s">
        <v>444</v>
      </c>
      <c r="C28" s="61">
        <f>'1 - DRILLING AND BLASTING'!C35</f>
        <v>0.63653201292191752</v>
      </c>
      <c r="D28" s="68">
        <f>IF(C26&gt;0,C28/C26,"-")</f>
        <v>0.51691357171245478</v>
      </c>
      <c r="E28" s="4"/>
      <c r="F28" s="51"/>
      <c r="G28" s="334"/>
      <c r="H28" s="335"/>
      <c r="I28" s="335"/>
      <c r="J28" s="336"/>
      <c r="K28" s="51"/>
      <c r="L28" s="334"/>
      <c r="M28" s="335"/>
      <c r="N28" s="335"/>
      <c r="O28" s="336"/>
    </row>
    <row r="29" spans="2:15" ht="15.75" thickBot="1" x14ac:dyDescent="0.3">
      <c r="B29" s="7"/>
      <c r="C29" s="8"/>
      <c r="D29" s="8"/>
      <c r="E29" s="9"/>
      <c r="F29" s="51"/>
      <c r="G29" s="337"/>
      <c r="H29" s="338"/>
      <c r="I29" s="338"/>
      <c r="J29" s="339"/>
      <c r="K29" s="51"/>
      <c r="L29" s="337"/>
      <c r="M29" s="338"/>
      <c r="N29" s="338"/>
      <c r="O29" s="339"/>
    </row>
    <row r="30" spans="2:15" s="51" customFormat="1" ht="15.75" thickTop="1" x14ac:dyDescent="0.25">
      <c r="B30" s="50"/>
      <c r="C30" s="50"/>
      <c r="D30" s="50"/>
      <c r="E30" s="50"/>
      <c r="G30" s="67"/>
      <c r="H30" s="67"/>
      <c r="I30" s="67"/>
      <c r="J30" s="67"/>
      <c r="L30" s="67"/>
      <c r="M30" s="67"/>
      <c r="N30" s="67"/>
      <c r="O30" s="67"/>
    </row>
    <row r="31" spans="2:15" s="51" customFormat="1" x14ac:dyDescent="0.25">
      <c r="B31" s="50"/>
      <c r="C31" s="50"/>
      <c r="D31" s="50"/>
      <c r="E31" s="50"/>
      <c r="G31" s="67"/>
      <c r="H31" s="67"/>
      <c r="I31" s="67"/>
      <c r="J31" s="67"/>
      <c r="L31" s="67"/>
      <c r="M31" s="67"/>
      <c r="N31" s="67"/>
      <c r="O31" s="67"/>
    </row>
    <row r="32" spans="2:15" s="51" customFormat="1" x14ac:dyDescent="0.25">
      <c r="B32" s="50"/>
      <c r="C32" s="50"/>
      <c r="D32" s="50"/>
      <c r="E32" s="50"/>
      <c r="G32" s="67"/>
      <c r="H32" s="67"/>
      <c r="I32" s="67"/>
      <c r="J32" s="67"/>
      <c r="L32" s="67"/>
      <c r="M32" s="67"/>
      <c r="N32" s="67"/>
      <c r="O32" s="67"/>
    </row>
    <row r="34" spans="1:16" x14ac:dyDescent="0.25">
      <c r="A34" s="309" t="s">
        <v>9</v>
      </c>
      <c r="B34" s="309"/>
      <c r="C34" s="309"/>
      <c r="D34" s="309"/>
      <c r="E34" s="309"/>
      <c r="F34" s="309"/>
      <c r="G34" s="309"/>
      <c r="H34" s="309"/>
      <c r="I34" s="309"/>
      <c r="J34" s="309"/>
      <c r="K34" s="309"/>
      <c r="L34" s="309"/>
      <c r="M34" s="309"/>
      <c r="N34" s="309"/>
      <c r="O34" s="309"/>
      <c r="P34" s="309"/>
    </row>
    <row r="36" spans="1:16" x14ac:dyDescent="0.25">
      <c r="B36" s="309" t="s">
        <v>6</v>
      </c>
      <c r="C36" s="309"/>
      <c r="D36" s="309"/>
      <c r="E36" s="309"/>
      <c r="F36" s="309"/>
      <c r="G36" s="309"/>
      <c r="H36" s="309"/>
      <c r="I36" s="309"/>
      <c r="J36" s="309"/>
      <c r="K36" s="309"/>
      <c r="L36" s="309"/>
      <c r="M36" s="309"/>
      <c r="N36" s="309"/>
      <c r="O36" s="309"/>
      <c r="P36" s="10"/>
    </row>
    <row r="37" spans="1:16" ht="15.75" thickBot="1" x14ac:dyDescent="0.3"/>
    <row r="38" spans="1:16" ht="15.75" thickTop="1" x14ac:dyDescent="0.25">
      <c r="B38" s="327" t="s">
        <v>2</v>
      </c>
      <c r="C38" s="328"/>
      <c r="D38" s="328"/>
      <c r="E38" s="329"/>
      <c r="F38" s="51"/>
      <c r="G38" s="327" t="s">
        <v>4</v>
      </c>
      <c r="H38" s="328"/>
      <c r="I38" s="328"/>
      <c r="J38" s="329"/>
      <c r="K38" s="51"/>
      <c r="L38" s="327" t="s">
        <v>124</v>
      </c>
      <c r="M38" s="328"/>
      <c r="N38" s="328"/>
      <c r="O38" s="329"/>
    </row>
    <row r="39" spans="1:16" x14ac:dyDescent="0.25">
      <c r="B39" s="1"/>
      <c r="C39" s="2" t="s">
        <v>132</v>
      </c>
      <c r="D39" s="3" t="s">
        <v>3</v>
      </c>
      <c r="E39" s="4"/>
      <c r="F39" s="51"/>
      <c r="G39" s="1"/>
      <c r="H39" s="2" t="s">
        <v>132</v>
      </c>
      <c r="I39" s="3" t="s">
        <v>3</v>
      </c>
      <c r="J39" s="4"/>
      <c r="K39" s="51"/>
      <c r="L39" s="1"/>
      <c r="M39" s="2" t="s">
        <v>132</v>
      </c>
      <c r="N39" s="3" t="s">
        <v>3</v>
      </c>
      <c r="O39" s="4"/>
    </row>
    <row r="40" spans="1:16" x14ac:dyDescent="0.25">
      <c r="B40" s="5" t="s">
        <v>0</v>
      </c>
      <c r="C40" s="61">
        <f>'2 - MATERIAL PROCESSING'!F40</f>
        <v>27.05</v>
      </c>
      <c r="D40" s="68">
        <f>IF(C40&gt;0,C40/C40,"-")</f>
        <v>1</v>
      </c>
      <c r="E40" s="4"/>
      <c r="F40" s="51"/>
      <c r="G40" s="5" t="s">
        <v>0</v>
      </c>
      <c r="H40" s="61">
        <f>'2 - MATERIAL PROCESSING'!F55</f>
        <v>10.215</v>
      </c>
      <c r="I40" s="68">
        <f>IF(H40&gt;0,H40/H40,"-")</f>
        <v>1</v>
      </c>
      <c r="J40" s="4"/>
      <c r="K40" s="51"/>
      <c r="L40" s="5" t="s">
        <v>0</v>
      </c>
      <c r="M40" s="61">
        <f>'2 - MATERIAL PROCESSING'!F70</f>
        <v>19.7</v>
      </c>
      <c r="N40" s="68">
        <f>IF(M40&gt;0,M40/M40,"-")</f>
        <v>1</v>
      </c>
      <c r="O40" s="4"/>
    </row>
    <row r="41" spans="1:16" x14ac:dyDescent="0.25">
      <c r="B41" s="5" t="s">
        <v>1</v>
      </c>
      <c r="C41" s="61">
        <f>'2 - MATERIAL PROCESSING'!F41</f>
        <v>9.77</v>
      </c>
      <c r="D41" s="68">
        <f>IF(C40&gt;0,C41/C40,"-")</f>
        <v>0.36118299445471347</v>
      </c>
      <c r="E41" s="4"/>
      <c r="F41" s="51"/>
      <c r="G41" s="5" t="s">
        <v>1</v>
      </c>
      <c r="H41" s="61">
        <f>'2 - MATERIAL PROCESSING'!F56</f>
        <v>3.7295000000000003</v>
      </c>
      <c r="I41" s="68">
        <f>IF(H40&gt;0,H41/H40,"-")</f>
        <v>0.36510034263338231</v>
      </c>
      <c r="J41" s="4"/>
      <c r="K41" s="51"/>
      <c r="L41" s="5" t="s">
        <v>1</v>
      </c>
      <c r="M41" s="61">
        <f>'2 - MATERIAL PROCESSING'!F71</f>
        <v>7.15</v>
      </c>
      <c r="N41" s="68">
        <f>IF(M40&gt;0,M41/M40,"-")</f>
        <v>0.36294416243654826</v>
      </c>
      <c r="O41" s="4"/>
    </row>
    <row r="42" spans="1:16" x14ac:dyDescent="0.25">
      <c r="B42" s="5" t="s">
        <v>444</v>
      </c>
      <c r="C42" s="61">
        <f>'2 - MATERIAL PROCESSING'!F42</f>
        <v>1.677288961038961</v>
      </c>
      <c r="D42" s="68">
        <f>IF(C40&gt;0,C42/C40,"-")</f>
        <v>6.2006985620663993E-2</v>
      </c>
      <c r="E42" s="4"/>
      <c r="F42" s="51"/>
      <c r="G42" s="5" t="s">
        <v>444</v>
      </c>
      <c r="H42" s="61">
        <f>'2 - MATERIAL PROCESSING'!F57</f>
        <v>0.76383116883116875</v>
      </c>
      <c r="I42" s="68">
        <f>IF(H40&gt;0,H42/H40,"-")</f>
        <v>7.4775444819497675E-2</v>
      </c>
      <c r="J42" s="4"/>
      <c r="K42" s="51"/>
      <c r="L42" s="5" t="s">
        <v>444</v>
      </c>
      <c r="M42" s="61">
        <f>'2 - MATERIAL PROCESSING'!F72</f>
        <v>1.301948051948052</v>
      </c>
      <c r="N42" s="68">
        <f>IF(M40&gt;0,M42/M40,"-")</f>
        <v>6.6088733601423963E-2</v>
      </c>
      <c r="O42" s="4"/>
    </row>
    <row r="43" spans="1:16" ht="15.75" thickBot="1" x14ac:dyDescent="0.3">
      <c r="B43" s="7"/>
      <c r="C43" s="8"/>
      <c r="D43" s="8"/>
      <c r="E43" s="9"/>
      <c r="F43" s="51"/>
      <c r="G43" s="7"/>
      <c r="H43" s="8"/>
      <c r="I43" s="8"/>
      <c r="J43" s="9"/>
      <c r="K43" s="51"/>
      <c r="L43" s="7"/>
      <c r="M43" s="8"/>
      <c r="N43" s="8"/>
      <c r="O43" s="9"/>
    </row>
    <row r="44" spans="1:16" ht="15.75" thickTop="1" x14ac:dyDescent="0.25">
      <c r="B44" s="51"/>
      <c r="C44" s="51"/>
      <c r="D44" s="51"/>
      <c r="E44" s="51"/>
      <c r="F44" s="51"/>
      <c r="G44" s="51"/>
      <c r="H44" s="51"/>
      <c r="I44" s="51"/>
      <c r="J44" s="51"/>
      <c r="K44" s="51"/>
      <c r="L44" s="51"/>
      <c r="M44" s="51"/>
      <c r="N44" s="51"/>
      <c r="O44" s="51"/>
    </row>
    <row r="45" spans="1:16" x14ac:dyDescent="0.25">
      <c r="B45" s="309" t="s">
        <v>5</v>
      </c>
      <c r="C45" s="309"/>
      <c r="D45" s="309"/>
      <c r="E45" s="309"/>
      <c r="F45" s="309"/>
      <c r="G45" s="309"/>
      <c r="H45" s="309"/>
      <c r="I45" s="309"/>
      <c r="J45" s="309"/>
      <c r="K45" s="309"/>
      <c r="L45" s="309"/>
      <c r="M45" s="309"/>
      <c r="N45" s="309"/>
      <c r="O45" s="309"/>
    </row>
    <row r="46" spans="1:16" ht="15.75" thickBot="1" x14ac:dyDescent="0.3">
      <c r="B46" s="51"/>
      <c r="C46" s="51"/>
      <c r="D46" s="51"/>
      <c r="E46" s="51"/>
      <c r="F46" s="51"/>
      <c r="G46" s="51"/>
      <c r="H46" s="51"/>
      <c r="I46" s="51"/>
      <c r="J46" s="51"/>
      <c r="K46" s="51"/>
      <c r="L46" s="51"/>
      <c r="M46" s="51"/>
      <c r="N46" s="51"/>
      <c r="O46" s="51"/>
    </row>
    <row r="47" spans="1:16" ht="15.75" thickTop="1" x14ac:dyDescent="0.25">
      <c r="B47" s="327" t="s">
        <v>2</v>
      </c>
      <c r="C47" s="328"/>
      <c r="D47" s="328"/>
      <c r="E47" s="329"/>
      <c r="F47" s="51"/>
      <c r="G47" s="327" t="s">
        <v>4</v>
      </c>
      <c r="H47" s="328"/>
      <c r="I47" s="328"/>
      <c r="J47" s="329"/>
      <c r="K47" s="51"/>
      <c r="L47" s="327" t="s">
        <v>124</v>
      </c>
      <c r="M47" s="328"/>
      <c r="N47" s="328"/>
      <c r="O47" s="329"/>
    </row>
    <row r="48" spans="1:16" x14ac:dyDescent="0.25">
      <c r="B48" s="1"/>
      <c r="C48" s="2" t="s">
        <v>132</v>
      </c>
      <c r="D48" s="3" t="s">
        <v>3</v>
      </c>
      <c r="E48" s="4"/>
      <c r="F48" s="51"/>
      <c r="G48" s="1"/>
      <c r="H48" s="2" t="s">
        <v>132</v>
      </c>
      <c r="I48" s="3" t="s">
        <v>3</v>
      </c>
      <c r="J48" s="4"/>
      <c r="K48" s="51"/>
      <c r="L48" s="1"/>
      <c r="M48" s="2" t="s">
        <v>132</v>
      </c>
      <c r="N48" s="3" t="s">
        <v>3</v>
      </c>
      <c r="O48" s="4"/>
    </row>
    <row r="49" spans="2:15" x14ac:dyDescent="0.25">
      <c r="B49" s="5" t="s">
        <v>0</v>
      </c>
      <c r="C49" s="61">
        <f>'2 - MATERIAL PROCESSING'!E40</f>
        <v>38.6132878875</v>
      </c>
      <c r="D49" s="68">
        <f>IF(C49&gt;0,C49/C49,"-")</f>
        <v>1</v>
      </c>
      <c r="E49" s="4"/>
      <c r="F49" s="51"/>
      <c r="G49" s="5" t="s">
        <v>0</v>
      </c>
      <c r="H49" s="61">
        <f>'2 - MATERIAL PROCESSING'!E55</f>
        <v>15.564510075000001</v>
      </c>
      <c r="I49" s="68">
        <f>IF(H49&gt;0,H49/H49,"-")</f>
        <v>1</v>
      </c>
      <c r="J49" s="4"/>
      <c r="K49" s="51"/>
      <c r="L49" s="5" t="s">
        <v>0</v>
      </c>
      <c r="M49" s="61">
        <f>'2 - MATERIAL PROCESSING'!E70</f>
        <v>30.766975650000003</v>
      </c>
      <c r="N49" s="68">
        <f>IF(M49&gt;0,M49/M49,"-")</f>
        <v>1</v>
      </c>
      <c r="O49" s="4"/>
    </row>
    <row r="50" spans="2:15" x14ac:dyDescent="0.25">
      <c r="B50" s="5" t="s">
        <v>1</v>
      </c>
      <c r="C50" s="61">
        <f>'2 - MATERIAL PROCESSING'!E41</f>
        <v>13.701202950000001</v>
      </c>
      <c r="D50" s="68">
        <f>IF(C49&gt;0,C50/C49,"-")</f>
        <v>0.35483129512095735</v>
      </c>
      <c r="E50" s="4"/>
      <c r="F50" s="51"/>
      <c r="G50" s="5" t="s">
        <v>1</v>
      </c>
      <c r="H50" s="61">
        <f>'2 - MATERIAL PROCESSING'!E56</f>
        <v>5.6657867</v>
      </c>
      <c r="I50" s="68">
        <f>IF(H49&gt;0,H50/H49,"-")</f>
        <v>0.36401959796347777</v>
      </c>
      <c r="J50" s="4"/>
      <c r="K50" s="51"/>
      <c r="L50" s="5" t="s">
        <v>1</v>
      </c>
      <c r="M50" s="61">
        <f>'2 - MATERIAL PROCESSING'!E71</f>
        <v>10.9412114</v>
      </c>
      <c r="N50" s="68">
        <f>IF(M49&gt;0,M50/M49,"-")</f>
        <v>0.35561543404413232</v>
      </c>
      <c r="O50" s="4"/>
    </row>
    <row r="51" spans="2:15" x14ac:dyDescent="0.25">
      <c r="B51" s="5" t="s">
        <v>444</v>
      </c>
      <c r="C51" s="61">
        <f>'2 - MATERIAL PROCESSING'!E42</f>
        <v>1.9172843483766235</v>
      </c>
      <c r="D51" s="68">
        <f>IF(C49&gt;0,C51/C49,"-")</f>
        <v>4.9653485969975951E-2</v>
      </c>
      <c r="E51" s="4"/>
      <c r="F51" s="51"/>
      <c r="G51" s="5" t="s">
        <v>444</v>
      </c>
      <c r="H51" s="61">
        <f>'2 - MATERIAL PROCESSING'!E57</f>
        <v>1.1439883500000001</v>
      </c>
      <c r="I51" s="68">
        <f>IF(H49&gt;0,H51/H49,"-")</f>
        <v>7.3499798226061411E-2</v>
      </c>
      <c r="J51" s="4"/>
      <c r="K51" s="51"/>
      <c r="L51" s="5" t="s">
        <v>444</v>
      </c>
      <c r="M51" s="61">
        <f>'2 - MATERIAL PROCESSING'!E72</f>
        <v>1.586066738961039</v>
      </c>
      <c r="N51" s="68">
        <f>IF(M49&gt;0,M51/M49,"-")</f>
        <v>5.1550947256040709E-2</v>
      </c>
      <c r="O51" s="4"/>
    </row>
    <row r="52" spans="2:15" ht="15.75" thickBot="1" x14ac:dyDescent="0.3">
      <c r="B52" s="7"/>
      <c r="C52" s="8"/>
      <c r="D52" s="8"/>
      <c r="E52" s="9"/>
      <c r="F52" s="51"/>
      <c r="G52" s="7"/>
      <c r="H52" s="8"/>
      <c r="I52" s="8"/>
      <c r="J52" s="9"/>
      <c r="K52" s="51"/>
      <c r="L52" s="7"/>
      <c r="M52" s="8"/>
      <c r="N52" s="8"/>
      <c r="O52" s="9"/>
    </row>
    <row r="53" spans="2:15" ht="15.75" thickTop="1" x14ac:dyDescent="0.25">
      <c r="B53" s="51"/>
      <c r="C53" s="51"/>
      <c r="D53" s="51"/>
      <c r="E53" s="51"/>
      <c r="F53" s="51"/>
      <c r="G53" s="51"/>
      <c r="H53" s="51"/>
      <c r="I53" s="51"/>
      <c r="J53" s="51"/>
      <c r="K53" s="51"/>
      <c r="L53" s="51"/>
      <c r="M53" s="51"/>
      <c r="N53" s="51"/>
      <c r="O53" s="51"/>
    </row>
    <row r="54" spans="2:15" x14ac:dyDescent="0.25">
      <c r="B54" s="309" t="s">
        <v>7</v>
      </c>
      <c r="C54" s="309"/>
      <c r="D54" s="309"/>
      <c r="E54" s="309"/>
      <c r="F54" s="309"/>
      <c r="G54" s="309"/>
      <c r="H54" s="309"/>
      <c r="I54" s="309"/>
      <c r="J54" s="309"/>
      <c r="K54" s="309"/>
      <c r="L54" s="309"/>
      <c r="M54" s="309"/>
      <c r="N54" s="309"/>
      <c r="O54" s="309"/>
    </row>
    <row r="55" spans="2:15" ht="15.75" thickBot="1" x14ac:dyDescent="0.3">
      <c r="B55" s="51"/>
      <c r="C55" s="51"/>
      <c r="D55" s="51"/>
      <c r="E55" s="51"/>
      <c r="F55" s="51"/>
      <c r="G55" s="51"/>
      <c r="H55" s="51"/>
      <c r="I55" s="51"/>
      <c r="J55" s="51"/>
      <c r="K55" s="51"/>
      <c r="L55" s="51"/>
      <c r="M55" s="51"/>
      <c r="N55" s="51"/>
      <c r="O55" s="51"/>
    </row>
    <row r="56" spans="2:15" ht="15.75" thickTop="1" x14ac:dyDescent="0.25">
      <c r="B56" s="327" t="s">
        <v>2</v>
      </c>
      <c r="C56" s="328"/>
      <c r="D56" s="328"/>
      <c r="E56" s="329"/>
      <c r="F56" s="51"/>
      <c r="G56" s="327" t="s">
        <v>4</v>
      </c>
      <c r="H56" s="328"/>
      <c r="I56" s="328"/>
      <c r="J56" s="329"/>
      <c r="K56" s="51"/>
      <c r="L56" s="327" t="s">
        <v>124</v>
      </c>
      <c r="M56" s="328"/>
      <c r="N56" s="328"/>
      <c r="O56" s="329"/>
    </row>
    <row r="57" spans="2:15" x14ac:dyDescent="0.25">
      <c r="B57" s="1"/>
      <c r="C57" s="2" t="s">
        <v>132</v>
      </c>
      <c r="D57" s="3" t="s">
        <v>3</v>
      </c>
      <c r="E57" s="4"/>
      <c r="F57" s="51"/>
      <c r="G57" s="1"/>
      <c r="H57" s="2" t="s">
        <v>132</v>
      </c>
      <c r="I57" s="3" t="s">
        <v>3</v>
      </c>
      <c r="J57" s="4"/>
      <c r="K57" s="51"/>
      <c r="L57" s="1"/>
      <c r="M57" s="2" t="s">
        <v>132</v>
      </c>
      <c r="N57" s="3" t="s">
        <v>3</v>
      </c>
      <c r="O57" s="4"/>
    </row>
    <row r="58" spans="2:15" x14ac:dyDescent="0.25">
      <c r="B58" s="5" t="s">
        <v>0</v>
      </c>
      <c r="C58" s="61">
        <f>'2 - MATERIAL PROCESSING'!D40</f>
        <v>35.777456600000008</v>
      </c>
      <c r="D58" s="68">
        <f>IF(C58&gt;0,C58/C58,"-")</f>
        <v>1</v>
      </c>
      <c r="E58" s="4"/>
      <c r="F58" s="51"/>
      <c r="G58" s="5" t="s">
        <v>0</v>
      </c>
      <c r="H58" s="61">
        <f>'2 - MATERIAL PROCESSING'!D55</f>
        <v>14.519946600000001</v>
      </c>
      <c r="I58" s="68">
        <f>IF(H58&gt;0,H58/H58,"-")</f>
        <v>1</v>
      </c>
      <c r="J58" s="4"/>
      <c r="K58" s="51"/>
      <c r="L58" s="5" t="s">
        <v>0</v>
      </c>
      <c r="M58" s="61">
        <f>'2 - MATERIAL PROCESSING'!D70</f>
        <v>28.501877199999999</v>
      </c>
      <c r="N58" s="68">
        <f>IF(M58&gt;0,M58/M58,"-")</f>
        <v>1</v>
      </c>
      <c r="O58" s="4"/>
    </row>
    <row r="59" spans="2:15" x14ac:dyDescent="0.25">
      <c r="B59" s="5" t="s">
        <v>1</v>
      </c>
      <c r="C59" s="61">
        <f>'2 - MATERIAL PROCESSING'!D41</f>
        <v>12.6509821</v>
      </c>
      <c r="D59" s="68">
        <f>IF(C58&gt;0,C59/C58,"-")</f>
        <v>0.35360205286364593</v>
      </c>
      <c r="E59" s="4"/>
      <c r="F59" s="51"/>
      <c r="G59" s="5" t="s">
        <v>1</v>
      </c>
      <c r="H59" s="61">
        <f>'2 - MATERIAL PROCESSING'!D56</f>
        <v>5.2553996000000005</v>
      </c>
      <c r="I59" s="68">
        <f>IF(H58&gt;0,H59/H58,"-")</f>
        <v>0.36194345232647068</v>
      </c>
      <c r="J59" s="4"/>
      <c r="K59" s="51"/>
      <c r="L59" s="5" t="s">
        <v>1</v>
      </c>
      <c r="M59" s="61">
        <f>'2 - MATERIAL PROCESSING'!D71</f>
        <v>10.097723199999999</v>
      </c>
      <c r="N59" s="68">
        <f>IF(M58&gt;0,M59/M58,"-")</f>
        <v>0.35428274176972452</v>
      </c>
      <c r="O59" s="4"/>
    </row>
    <row r="60" spans="2:15" x14ac:dyDescent="0.25">
      <c r="B60" s="5" t="s">
        <v>444</v>
      </c>
      <c r="C60" s="61">
        <f>'2 - MATERIAL PROCESSING'!D42</f>
        <v>1.7044804574675323</v>
      </c>
      <c r="D60" s="68">
        <f>IF(C58&gt;0,C60/C58,"-")</f>
        <v>4.7641185803787178E-2</v>
      </c>
      <c r="E60" s="4"/>
      <c r="F60" s="51"/>
      <c r="G60" s="5" t="s">
        <v>444</v>
      </c>
      <c r="H60" s="61">
        <f>'2 - MATERIAL PROCESSING'!D57</f>
        <v>1.0188423000000002</v>
      </c>
      <c r="I60" s="68">
        <f>IF(H58&gt;0,H60/H58,"-")</f>
        <v>7.0168460536900332E-2</v>
      </c>
      <c r="J60" s="4"/>
      <c r="K60" s="51"/>
      <c r="L60" s="5" t="s">
        <v>444</v>
      </c>
      <c r="M60" s="61">
        <f>'2 - MATERIAL PROCESSING'!D72</f>
        <v>1.4068908207792208</v>
      </c>
      <c r="N60" s="68">
        <f>IF(M58&gt;0,M60/M58,"-")</f>
        <v>4.9361338935921768E-2</v>
      </c>
      <c r="O60" s="4"/>
    </row>
    <row r="61" spans="2:15" ht="15.75" thickBot="1" x14ac:dyDescent="0.3">
      <c r="B61" s="7"/>
      <c r="C61" s="8"/>
      <c r="D61" s="8"/>
      <c r="E61" s="9"/>
      <c r="F61" s="51"/>
      <c r="G61" s="7"/>
      <c r="H61" s="8"/>
      <c r="I61" s="8"/>
      <c r="J61" s="9"/>
      <c r="K61" s="51"/>
      <c r="L61" s="7"/>
      <c r="M61" s="8"/>
      <c r="N61" s="8"/>
      <c r="O61" s="9"/>
    </row>
    <row r="62" spans="2:15" s="51" customFormat="1" ht="15.75" thickTop="1" x14ac:dyDescent="0.25">
      <c r="B62" s="50"/>
      <c r="C62" s="50"/>
      <c r="D62" s="50"/>
      <c r="E62" s="50"/>
      <c r="G62" s="50"/>
      <c r="H62" s="50"/>
      <c r="I62" s="50"/>
      <c r="J62" s="50"/>
      <c r="L62" s="50"/>
      <c r="M62" s="50"/>
      <c r="N62" s="50"/>
      <c r="O62" s="50"/>
    </row>
    <row r="63" spans="2:15" s="51" customFormat="1" x14ac:dyDescent="0.25">
      <c r="B63" s="50"/>
      <c r="C63" s="50"/>
      <c r="D63" s="50"/>
      <c r="E63" s="50"/>
      <c r="G63" s="50"/>
      <c r="H63" s="50"/>
      <c r="I63" s="50"/>
      <c r="J63" s="50"/>
      <c r="L63" s="50"/>
      <c r="M63" s="50"/>
      <c r="N63" s="50"/>
      <c r="O63" s="50"/>
    </row>
    <row r="64" spans="2:15" s="51" customFormat="1" x14ac:dyDescent="0.25">
      <c r="B64" s="50"/>
      <c r="C64" s="50"/>
      <c r="D64" s="50"/>
      <c r="E64" s="50"/>
      <c r="G64" s="50"/>
      <c r="H64" s="50"/>
      <c r="I64" s="50"/>
      <c r="J64" s="50"/>
      <c r="L64" s="50"/>
      <c r="M64" s="50"/>
      <c r="N64" s="50"/>
      <c r="O64" s="50"/>
    </row>
    <row r="66" spans="1:16" x14ac:dyDescent="0.25">
      <c r="A66" s="309" t="s">
        <v>10</v>
      </c>
      <c r="B66" s="309"/>
      <c r="C66" s="309"/>
      <c r="D66" s="309"/>
      <c r="E66" s="309"/>
      <c r="F66" s="309"/>
      <c r="G66" s="309"/>
      <c r="H66" s="309"/>
      <c r="I66" s="309"/>
      <c r="J66" s="309"/>
      <c r="K66" s="309"/>
      <c r="L66" s="309"/>
      <c r="M66" s="309"/>
      <c r="N66" s="309"/>
      <c r="O66" s="309"/>
      <c r="P66" s="309"/>
    </row>
    <row r="68" spans="1:16" x14ac:dyDescent="0.25">
      <c r="B68" s="309" t="s">
        <v>6</v>
      </c>
      <c r="C68" s="309"/>
      <c r="D68" s="309"/>
      <c r="E68" s="309"/>
      <c r="F68" s="309"/>
      <c r="G68" s="309"/>
      <c r="H68" s="309"/>
      <c r="I68" s="309"/>
      <c r="J68" s="309"/>
      <c r="K68" s="309"/>
      <c r="L68" s="309"/>
      <c r="M68" s="309"/>
      <c r="N68" s="309"/>
      <c r="O68" s="309"/>
      <c r="P68" s="10"/>
    </row>
    <row r="69" spans="1:16" ht="15.75" thickBot="1" x14ac:dyDescent="0.3"/>
    <row r="70" spans="1:16" ht="15.75" thickTop="1" x14ac:dyDescent="0.25">
      <c r="B70" s="327" t="s">
        <v>2</v>
      </c>
      <c r="C70" s="328"/>
      <c r="D70" s="328"/>
      <c r="E70" s="329"/>
      <c r="F70" s="51"/>
      <c r="G70" s="327" t="s">
        <v>4</v>
      </c>
      <c r="H70" s="328"/>
      <c r="I70" s="328"/>
      <c r="J70" s="329"/>
      <c r="K70" s="51"/>
      <c r="L70" s="327" t="s">
        <v>124</v>
      </c>
      <c r="M70" s="328"/>
      <c r="N70" s="328"/>
      <c r="O70" s="329"/>
    </row>
    <row r="71" spans="1:16" x14ac:dyDescent="0.25">
      <c r="B71" s="1"/>
      <c r="C71" s="2" t="s">
        <v>132</v>
      </c>
      <c r="D71" s="3" t="s">
        <v>3</v>
      </c>
      <c r="E71" s="4"/>
      <c r="F71" s="51"/>
      <c r="G71" s="1"/>
      <c r="H71" s="2" t="s">
        <v>132</v>
      </c>
      <c r="I71" s="3" t="s">
        <v>3</v>
      </c>
      <c r="J71" s="4"/>
      <c r="K71" s="51"/>
      <c r="L71" s="334" t="s">
        <v>261</v>
      </c>
      <c r="M71" s="335"/>
      <c r="N71" s="335"/>
      <c r="O71" s="336"/>
    </row>
    <row r="72" spans="1:16" x14ac:dyDescent="0.25">
      <c r="B72" s="5" t="s">
        <v>0</v>
      </c>
      <c r="C72" s="61">
        <f>'3 - INTERNAL TRANSPORT'!F70</f>
        <v>555.99893903810164</v>
      </c>
      <c r="D72" s="68">
        <f>IF(C72&gt;0,C72/C72,"-")</f>
        <v>1</v>
      </c>
      <c r="E72" s="4"/>
      <c r="F72" s="51"/>
      <c r="G72" s="5" t="s">
        <v>0</v>
      </c>
      <c r="H72" s="61">
        <f>'3 - INTERNAL TRANSPORT'!F89</f>
        <v>31.350675871619405</v>
      </c>
      <c r="I72" s="68">
        <f>IF(H72&gt;0,H72/H72,"-")</f>
        <v>1</v>
      </c>
      <c r="J72" s="4"/>
      <c r="K72" s="51"/>
      <c r="L72" s="334"/>
      <c r="M72" s="335"/>
      <c r="N72" s="335"/>
      <c r="O72" s="336"/>
    </row>
    <row r="73" spans="1:16" x14ac:dyDescent="0.25">
      <c r="B73" s="5" t="s">
        <v>1</v>
      </c>
      <c r="C73" s="61">
        <f>'3 - INTERNAL TRANSPORT'!F71</f>
        <v>160.78032578735264</v>
      </c>
      <c r="D73" s="68">
        <f>IF(C72&gt;0,C73/C72,"-")</f>
        <v>0.28917379962182743</v>
      </c>
      <c r="E73" s="4"/>
      <c r="F73" s="51"/>
      <c r="G73" s="5" t="s">
        <v>1</v>
      </c>
      <c r="H73" s="61">
        <f>'3 - INTERNAL TRANSPORT'!F90</f>
        <v>8.0603026377057585</v>
      </c>
      <c r="I73" s="68">
        <f>IF(H72&gt;0,H73/H72,"-")</f>
        <v>0.25710139936735621</v>
      </c>
      <c r="J73" s="4"/>
      <c r="K73" s="51"/>
      <c r="L73" s="334"/>
      <c r="M73" s="335"/>
      <c r="N73" s="335"/>
      <c r="O73" s="336"/>
    </row>
    <row r="74" spans="1:16" x14ac:dyDescent="0.25">
      <c r="B74" s="5" t="s">
        <v>444</v>
      </c>
      <c r="C74" s="61">
        <f>'3 - INTERNAL TRANSPORT'!F72</f>
        <v>15.964003978886074</v>
      </c>
      <c r="D74" s="68">
        <f>IF(C72&gt;0,C74/C72,"-")</f>
        <v>2.8712292161032504E-2</v>
      </c>
      <c r="E74" s="4"/>
      <c r="F74" s="51"/>
      <c r="G74" s="5" t="s">
        <v>444</v>
      </c>
      <c r="H74" s="61">
        <f>'3 - INTERNAL TRANSPORT'!F91</f>
        <v>0.80031373707716735</v>
      </c>
      <c r="I74" s="68">
        <f>IF(H72&gt;0,H74/H72,"-")</f>
        <v>2.5527798518744583E-2</v>
      </c>
      <c r="J74" s="4"/>
      <c r="K74" s="51"/>
      <c r="L74" s="334"/>
      <c r="M74" s="335"/>
      <c r="N74" s="335"/>
      <c r="O74" s="336"/>
    </row>
    <row r="75" spans="1:16" ht="15.75" thickBot="1" x14ac:dyDescent="0.3">
      <c r="B75" s="7"/>
      <c r="C75" s="8"/>
      <c r="D75" s="8"/>
      <c r="E75" s="9"/>
      <c r="F75" s="51"/>
      <c r="G75" s="7"/>
      <c r="H75" s="8"/>
      <c r="I75" s="8"/>
      <c r="J75" s="9"/>
      <c r="K75" s="51"/>
      <c r="L75" s="337"/>
      <c r="M75" s="338"/>
      <c r="N75" s="338"/>
      <c r="O75" s="339"/>
    </row>
    <row r="76" spans="1:16" ht="15.75" thickTop="1" x14ac:dyDescent="0.25">
      <c r="B76" s="51"/>
      <c r="C76" s="51"/>
      <c r="D76" s="51"/>
      <c r="E76" s="51"/>
      <c r="F76" s="51"/>
      <c r="G76" s="51"/>
      <c r="H76" s="51"/>
      <c r="I76" s="51"/>
      <c r="J76" s="51"/>
      <c r="K76" s="51"/>
      <c r="L76" s="51"/>
      <c r="M76" s="51"/>
      <c r="N76" s="51"/>
      <c r="O76" s="51"/>
    </row>
    <row r="77" spans="1:16" x14ac:dyDescent="0.25">
      <c r="B77" s="309" t="s">
        <v>5</v>
      </c>
      <c r="C77" s="309"/>
      <c r="D77" s="309"/>
      <c r="E77" s="309"/>
      <c r="F77" s="309"/>
      <c r="G77" s="309"/>
      <c r="H77" s="309"/>
      <c r="I77" s="309"/>
      <c r="J77" s="309"/>
      <c r="K77" s="309"/>
      <c r="L77" s="309"/>
      <c r="M77" s="309"/>
      <c r="N77" s="309"/>
      <c r="O77" s="309"/>
    </row>
    <row r="78" spans="1:16" ht="15.75" thickBot="1" x14ac:dyDescent="0.3">
      <c r="B78" s="51"/>
      <c r="C78" s="51"/>
      <c r="D78" s="51"/>
      <c r="E78" s="51"/>
      <c r="F78" s="51"/>
      <c r="G78" s="51"/>
      <c r="H78" s="51"/>
      <c r="I78" s="51"/>
      <c r="J78" s="51"/>
      <c r="K78" s="51"/>
      <c r="L78" s="51"/>
      <c r="M78" s="51"/>
      <c r="N78" s="51"/>
      <c r="O78" s="51"/>
    </row>
    <row r="79" spans="1:16" ht="15.75" thickTop="1" x14ac:dyDescent="0.25">
      <c r="B79" s="327" t="s">
        <v>2</v>
      </c>
      <c r="C79" s="328"/>
      <c r="D79" s="328"/>
      <c r="E79" s="329"/>
      <c r="F79" s="51"/>
      <c r="G79" s="327" t="s">
        <v>4</v>
      </c>
      <c r="H79" s="328"/>
      <c r="I79" s="328"/>
      <c r="J79" s="329"/>
      <c r="K79" s="51"/>
      <c r="L79" s="327" t="s">
        <v>124</v>
      </c>
      <c r="M79" s="328"/>
      <c r="N79" s="328"/>
      <c r="O79" s="329"/>
    </row>
    <row r="80" spans="1:16" x14ac:dyDescent="0.25">
      <c r="B80" s="1"/>
      <c r="C80" s="2" t="s">
        <v>132</v>
      </c>
      <c r="D80" s="3" t="s">
        <v>3</v>
      </c>
      <c r="E80" s="4"/>
      <c r="F80" s="51"/>
      <c r="G80" s="1"/>
      <c r="H80" s="2" t="s">
        <v>132</v>
      </c>
      <c r="I80" s="3" t="s">
        <v>3</v>
      </c>
      <c r="J80" s="4"/>
      <c r="K80" s="51"/>
      <c r="L80" s="334" t="s">
        <v>261</v>
      </c>
      <c r="M80" s="335"/>
      <c r="N80" s="335"/>
      <c r="O80" s="336"/>
    </row>
    <row r="81" spans="2:15" x14ac:dyDescent="0.25">
      <c r="B81" s="5" t="s">
        <v>0</v>
      </c>
      <c r="C81" s="61">
        <f>'3 - INTERNAL TRANSPORT'!E70</f>
        <v>137.26526588610847</v>
      </c>
      <c r="D81" s="68">
        <f>IF(C81&gt;0,C81/C81,"-")</f>
        <v>1</v>
      </c>
      <c r="E81" s="4"/>
      <c r="F81" s="51"/>
      <c r="G81" s="5" t="s">
        <v>0</v>
      </c>
      <c r="H81" s="61">
        <f>'3 - INTERNAL TRANSPORT'!E89</f>
        <v>13.057869711222603</v>
      </c>
      <c r="I81" s="68">
        <f>IF(H81&gt;0,H81/H81,"-")</f>
        <v>1</v>
      </c>
      <c r="J81" s="4"/>
      <c r="K81" s="51"/>
      <c r="L81" s="334"/>
      <c r="M81" s="335"/>
      <c r="N81" s="335"/>
      <c r="O81" s="336"/>
    </row>
    <row r="82" spans="2:15" x14ac:dyDescent="0.25">
      <c r="B82" s="5" t="s">
        <v>1</v>
      </c>
      <c r="C82" s="61">
        <f>'3 - INTERNAL TRANSPORT'!E71</f>
        <v>39.693518492386382</v>
      </c>
      <c r="D82" s="68">
        <f>IF(C81&gt;0,C82/C81,"-")</f>
        <v>0.28917379962182732</v>
      </c>
      <c r="E82" s="4"/>
      <c r="F82" s="51"/>
      <c r="G82" s="5" t="s">
        <v>1</v>
      </c>
      <c r="H82" s="61">
        <f>'3 - INTERNAL TRANSPORT'!E90</f>
        <v>3.3571965755119466</v>
      </c>
      <c r="I82" s="68">
        <f>IF(H81&gt;0,H82/H81,"-")</f>
        <v>0.25710139936735621</v>
      </c>
      <c r="J82" s="4"/>
      <c r="K82" s="51"/>
      <c r="L82" s="334"/>
      <c r="M82" s="335"/>
      <c r="N82" s="335"/>
      <c r="O82" s="336"/>
    </row>
    <row r="83" spans="2:15" x14ac:dyDescent="0.25">
      <c r="B83" s="5" t="s">
        <v>444</v>
      </c>
      <c r="C83" s="61">
        <f>'3 - INTERNAL TRANSPORT'!E72</f>
        <v>3.9412004176837532</v>
      </c>
      <c r="D83" s="68">
        <f>IF(C81&gt;0,C83/C81,"-")</f>
        <v>2.8712292161032493E-2</v>
      </c>
      <c r="E83" s="4"/>
      <c r="F83" s="51"/>
      <c r="G83" s="5" t="s">
        <v>444</v>
      </c>
      <c r="H83" s="61">
        <f>'3 - INTERNAL TRANSPORT'!E91</f>
        <v>0.33333866707210813</v>
      </c>
      <c r="I83" s="68">
        <f>IF(H81&gt;0,H83/H81,"-")</f>
        <v>2.5527798518744583E-2</v>
      </c>
      <c r="J83" s="4"/>
      <c r="K83" s="51"/>
      <c r="L83" s="334"/>
      <c r="M83" s="335"/>
      <c r="N83" s="335"/>
      <c r="O83" s="336"/>
    </row>
    <row r="84" spans="2:15" ht="15.75" thickBot="1" x14ac:dyDescent="0.3">
      <c r="B84" s="7"/>
      <c r="C84" s="8"/>
      <c r="D84" s="8"/>
      <c r="E84" s="9"/>
      <c r="F84" s="51"/>
      <c r="G84" s="7"/>
      <c r="H84" s="8"/>
      <c r="I84" s="8"/>
      <c r="J84" s="9"/>
      <c r="K84" s="51"/>
      <c r="L84" s="337"/>
      <c r="M84" s="338"/>
      <c r="N84" s="338"/>
      <c r="O84" s="339"/>
    </row>
    <row r="85" spans="2:15" ht="15.75" thickTop="1" x14ac:dyDescent="0.25">
      <c r="B85" s="51"/>
      <c r="C85" s="51"/>
      <c r="D85" s="51"/>
      <c r="E85" s="51"/>
      <c r="F85" s="51"/>
      <c r="G85" s="51"/>
      <c r="H85" s="51"/>
      <c r="I85" s="51"/>
      <c r="J85" s="51"/>
      <c r="K85" s="51"/>
      <c r="L85" s="51"/>
      <c r="M85" s="51"/>
      <c r="N85" s="51"/>
      <c r="O85" s="51"/>
    </row>
    <row r="86" spans="2:15" x14ac:dyDescent="0.25">
      <c r="B86" s="309" t="s">
        <v>7</v>
      </c>
      <c r="C86" s="309"/>
      <c r="D86" s="309"/>
      <c r="E86" s="309"/>
      <c r="F86" s="309"/>
      <c r="G86" s="309"/>
      <c r="H86" s="309"/>
      <c r="I86" s="309"/>
      <c r="J86" s="309"/>
      <c r="K86" s="309"/>
      <c r="L86" s="309"/>
      <c r="M86" s="309"/>
      <c r="N86" s="309"/>
      <c r="O86" s="309"/>
    </row>
    <row r="87" spans="2:15" ht="15.75" thickBot="1" x14ac:dyDescent="0.3">
      <c r="B87" s="51"/>
      <c r="C87" s="51"/>
      <c r="D87" s="51"/>
      <c r="E87" s="51"/>
      <c r="F87" s="51"/>
      <c r="G87" s="51"/>
      <c r="H87" s="51"/>
      <c r="I87" s="51"/>
      <c r="J87" s="51"/>
      <c r="K87" s="51"/>
      <c r="L87" s="51"/>
      <c r="M87" s="51"/>
      <c r="N87" s="51"/>
      <c r="O87" s="51"/>
    </row>
    <row r="88" spans="2:15" ht="15.75" thickTop="1" x14ac:dyDescent="0.25">
      <c r="B88" s="327" t="s">
        <v>2</v>
      </c>
      <c r="C88" s="328"/>
      <c r="D88" s="328"/>
      <c r="E88" s="329"/>
      <c r="F88" s="51"/>
      <c r="G88" s="327" t="s">
        <v>4</v>
      </c>
      <c r="H88" s="328"/>
      <c r="I88" s="328"/>
      <c r="J88" s="329"/>
      <c r="K88" s="51"/>
      <c r="L88" s="327" t="s">
        <v>124</v>
      </c>
      <c r="M88" s="328"/>
      <c r="N88" s="328"/>
      <c r="O88" s="329"/>
    </row>
    <row r="89" spans="2:15" x14ac:dyDescent="0.25">
      <c r="B89" s="1"/>
      <c r="C89" s="2" t="s">
        <v>132</v>
      </c>
      <c r="D89" s="3" t="s">
        <v>3</v>
      </c>
      <c r="E89" s="4"/>
      <c r="F89" s="51"/>
      <c r="G89" s="1"/>
      <c r="H89" s="2" t="s">
        <v>132</v>
      </c>
      <c r="I89" s="3" t="s">
        <v>3</v>
      </c>
      <c r="J89" s="4"/>
      <c r="K89" s="51"/>
      <c r="L89" s="334" t="s">
        <v>261</v>
      </c>
      <c r="M89" s="335"/>
      <c r="N89" s="335"/>
      <c r="O89" s="336"/>
    </row>
    <row r="90" spans="2:15" x14ac:dyDescent="0.25">
      <c r="B90" s="5" t="s">
        <v>0</v>
      </c>
      <c r="C90" s="61">
        <f>'3 - INTERNAL TRANSPORT'!D70</f>
        <v>47.464875966133448</v>
      </c>
      <c r="D90" s="68">
        <f>IF(C90&gt;0,C90/C90,"-")</f>
        <v>1</v>
      </c>
      <c r="E90" s="4"/>
      <c r="F90" s="51"/>
      <c r="G90" s="5" t="s">
        <v>0</v>
      </c>
      <c r="H90" s="61">
        <f>'3 - INTERNAL TRANSPORT'!D89</f>
        <v>0</v>
      </c>
      <c r="I90" s="68" t="str">
        <f>IF(H90&gt;0,H90/H90,"-")</f>
        <v>-</v>
      </c>
      <c r="J90" s="4"/>
      <c r="K90" s="51"/>
      <c r="L90" s="334"/>
      <c r="M90" s="335"/>
      <c r="N90" s="335"/>
      <c r="O90" s="336"/>
    </row>
    <row r="91" spans="2:15" x14ac:dyDescent="0.25">
      <c r="B91" s="5" t="s">
        <v>1</v>
      </c>
      <c r="C91" s="61">
        <f>'3 - INTERNAL TRANSPORT'!D71</f>
        <v>12.860402256306305</v>
      </c>
      <c r="D91" s="68">
        <f>IF(C90&gt;0,C91/C90,"-")</f>
        <v>0.27094566233528766</v>
      </c>
      <c r="E91" s="4"/>
      <c r="F91" s="51"/>
      <c r="G91" s="5" t="s">
        <v>1</v>
      </c>
      <c r="H91" s="61">
        <f>'3 - INTERNAL TRANSPORT'!D90</f>
        <v>0</v>
      </c>
      <c r="I91" s="68" t="str">
        <f>IF(H90&gt;0,H91/H90,"-")</f>
        <v>-</v>
      </c>
      <c r="J91" s="4"/>
      <c r="K91" s="51"/>
      <c r="L91" s="334"/>
      <c r="M91" s="335"/>
      <c r="N91" s="335"/>
      <c r="O91" s="336"/>
    </row>
    <row r="92" spans="2:15" x14ac:dyDescent="0.25">
      <c r="B92" s="5" t="s">
        <v>444</v>
      </c>
      <c r="C92" s="61">
        <f>'3 - INTERNAL TRANSPORT'!D72</f>
        <v>1.5205820123823246</v>
      </c>
      <c r="D92" s="68">
        <f>IF(C90&gt;0,C92/C90,"-")</f>
        <v>3.2035941976700233E-2</v>
      </c>
      <c r="E92" s="4"/>
      <c r="F92" s="51"/>
      <c r="G92" s="5" t="s">
        <v>444</v>
      </c>
      <c r="H92" s="61">
        <f>'3 - INTERNAL TRANSPORT'!D91</f>
        <v>0</v>
      </c>
      <c r="I92" s="68" t="str">
        <f>IF(H90&gt;0,H92/H90,"-")</f>
        <v>-</v>
      </c>
      <c r="J92" s="4"/>
      <c r="K92" s="51"/>
      <c r="L92" s="334"/>
      <c r="M92" s="335"/>
      <c r="N92" s="335"/>
      <c r="O92" s="336"/>
    </row>
    <row r="93" spans="2:15" ht="15.75" thickBot="1" x14ac:dyDescent="0.3">
      <c r="B93" s="7"/>
      <c r="C93" s="8"/>
      <c r="D93" s="8"/>
      <c r="E93" s="9"/>
      <c r="F93" s="51"/>
      <c r="G93" s="7"/>
      <c r="H93" s="8"/>
      <c r="I93" s="8"/>
      <c r="J93" s="9"/>
      <c r="K93" s="51"/>
      <c r="L93" s="337"/>
      <c r="M93" s="338"/>
      <c r="N93" s="338"/>
      <c r="O93" s="339"/>
    </row>
    <row r="94" spans="2:15" s="51" customFormat="1" ht="15.75" thickTop="1" x14ac:dyDescent="0.25">
      <c r="B94" s="50"/>
      <c r="C94" s="50"/>
      <c r="D94" s="50"/>
      <c r="E94" s="50"/>
      <c r="G94" s="50"/>
      <c r="H94" s="50"/>
      <c r="I94" s="50"/>
      <c r="J94" s="50"/>
      <c r="L94" s="67"/>
      <c r="M94" s="67"/>
      <c r="N94" s="67"/>
      <c r="O94" s="67"/>
    </row>
    <row r="95" spans="2:15" s="51" customFormat="1" x14ac:dyDescent="0.25">
      <c r="B95" s="50"/>
      <c r="C95" s="50"/>
      <c r="D95" s="50"/>
      <c r="E95" s="50"/>
      <c r="G95" s="50"/>
      <c r="H95" s="50"/>
      <c r="I95" s="50"/>
      <c r="J95" s="50"/>
      <c r="L95" s="67"/>
      <c r="M95" s="67"/>
      <c r="N95" s="67"/>
      <c r="O95" s="67"/>
    </row>
    <row r="96" spans="2:15" s="51" customFormat="1" x14ac:dyDescent="0.25">
      <c r="B96" s="50"/>
      <c r="C96" s="50"/>
      <c r="D96" s="50"/>
      <c r="E96" s="50"/>
      <c r="G96" s="50"/>
      <c r="H96" s="50"/>
      <c r="I96" s="50"/>
      <c r="J96" s="50"/>
      <c r="L96" s="67"/>
      <c r="M96" s="67"/>
      <c r="N96" s="67"/>
      <c r="O96" s="67"/>
    </row>
    <row r="98" spans="1:16" x14ac:dyDescent="0.25">
      <c r="A98" s="309" t="s">
        <v>11</v>
      </c>
      <c r="B98" s="309"/>
      <c r="C98" s="309"/>
      <c r="D98" s="309"/>
      <c r="E98" s="309"/>
      <c r="F98" s="309"/>
      <c r="G98" s="309"/>
      <c r="H98" s="309"/>
      <c r="I98" s="309"/>
      <c r="J98" s="309"/>
      <c r="K98" s="309"/>
      <c r="L98" s="309"/>
      <c r="M98" s="309"/>
      <c r="N98" s="309"/>
      <c r="O98" s="309"/>
      <c r="P98" s="309"/>
    </row>
    <row r="100" spans="1:16" x14ac:dyDescent="0.25">
      <c r="B100" s="309" t="s">
        <v>6</v>
      </c>
      <c r="C100" s="309"/>
      <c r="D100" s="309"/>
      <c r="E100" s="309"/>
      <c r="F100" s="309"/>
      <c r="G100" s="309"/>
      <c r="H100" s="309"/>
      <c r="I100" s="309"/>
      <c r="J100" s="309"/>
      <c r="K100" s="309"/>
      <c r="L100" s="309"/>
      <c r="M100" s="309"/>
      <c r="N100" s="309"/>
      <c r="O100" s="309"/>
      <c r="P100" s="10"/>
    </row>
    <row r="101" spans="1:16" ht="15.75" thickBot="1" x14ac:dyDescent="0.3"/>
    <row r="102" spans="1:16" ht="15.75" thickTop="1" x14ac:dyDescent="0.25">
      <c r="B102" s="327" t="s">
        <v>2</v>
      </c>
      <c r="C102" s="328"/>
      <c r="D102" s="328"/>
      <c r="E102" s="329"/>
      <c r="F102" s="51"/>
      <c r="G102" s="327" t="s">
        <v>4</v>
      </c>
      <c r="H102" s="328"/>
      <c r="I102" s="328"/>
      <c r="J102" s="329"/>
      <c r="K102" s="51"/>
      <c r="L102" s="327" t="s">
        <v>124</v>
      </c>
      <c r="M102" s="328"/>
      <c r="N102" s="328"/>
      <c r="O102" s="329"/>
    </row>
    <row r="103" spans="1:16" x14ac:dyDescent="0.25">
      <c r="B103" s="1"/>
      <c r="C103" s="2" t="s">
        <v>132</v>
      </c>
      <c r="D103" s="3" t="s">
        <v>3</v>
      </c>
      <c r="E103" s="4"/>
      <c r="F103" s="51"/>
      <c r="G103" s="1"/>
      <c r="H103" s="2" t="s">
        <v>132</v>
      </c>
      <c r="I103" s="3" t="s">
        <v>3</v>
      </c>
      <c r="J103" s="4"/>
      <c r="K103" s="51"/>
      <c r="L103" s="1"/>
      <c r="M103" s="2" t="s">
        <v>132</v>
      </c>
      <c r="N103" s="3" t="s">
        <v>3</v>
      </c>
      <c r="O103" s="4"/>
    </row>
    <row r="104" spans="1:16" x14ac:dyDescent="0.25">
      <c r="B104" s="5" t="s">
        <v>0</v>
      </c>
      <c r="C104" s="61">
        <f>'4 - MATERIAL HANDLING OPERATION'!F23</f>
        <v>4.0778780049071779</v>
      </c>
      <c r="D104" s="68">
        <f>IF(C104&gt;0,C104/C104,"-")</f>
        <v>1</v>
      </c>
      <c r="E104" s="4"/>
      <c r="F104" s="51"/>
      <c r="G104" s="5" t="s">
        <v>0</v>
      </c>
      <c r="H104" s="61">
        <f>'4 - MATERIAL HANDLING OPERATION'!F32</f>
        <v>0.8759200600565239</v>
      </c>
      <c r="I104" s="68">
        <f>IF(H104&gt;0,H104/H104,"-")</f>
        <v>1</v>
      </c>
      <c r="J104" s="4"/>
      <c r="K104" s="51"/>
      <c r="L104" s="5" t="s">
        <v>0</v>
      </c>
      <c r="M104" s="61">
        <f>'4 - MATERIAL HANDLING OPERATION'!F41</f>
        <v>4.0778780049071788</v>
      </c>
      <c r="N104" s="68">
        <f>IF(M104&gt;0,M104/M104,"-")</f>
        <v>1</v>
      </c>
      <c r="O104" s="4"/>
    </row>
    <row r="105" spans="1:16" x14ac:dyDescent="0.25">
      <c r="B105" s="5" t="s">
        <v>1</v>
      </c>
      <c r="C105" s="61">
        <f>'4 - MATERIAL HANDLING OPERATION'!F24</f>
        <v>1.9287260834020434</v>
      </c>
      <c r="D105" s="68">
        <f>IF(C104&gt;0,C105/C104,"-")</f>
        <v>0.47297297297297292</v>
      </c>
      <c r="E105" s="4"/>
      <c r="F105" s="51"/>
      <c r="G105" s="5" t="s">
        <v>1</v>
      </c>
      <c r="H105" s="61">
        <f>'4 - MATERIAL HANDLING OPERATION'!F33</f>
        <v>0.41428651489159918</v>
      </c>
      <c r="I105" s="68">
        <f>IF(H104&gt;0,H105/H104,"-")</f>
        <v>0.47297297297297303</v>
      </c>
      <c r="J105" s="4"/>
      <c r="K105" s="51"/>
      <c r="L105" s="5" t="s">
        <v>1</v>
      </c>
      <c r="M105" s="61">
        <f>'4 - MATERIAL HANDLING OPERATION'!F42</f>
        <v>1.9287260834020434</v>
      </c>
      <c r="N105" s="68">
        <f>IF(M104&gt;0,M105/M104,"-")</f>
        <v>0.4729729729729728</v>
      </c>
      <c r="O105" s="4"/>
    </row>
    <row r="106" spans="1:16" x14ac:dyDescent="0.25">
      <c r="B106" s="5" t="s">
        <v>444</v>
      </c>
      <c r="C106" s="61">
        <f>'4 - MATERIAL HANDLING OPERATION'!F25</f>
        <v>0.29206423548659516</v>
      </c>
      <c r="D106" s="68">
        <f>IF(C104&gt;0,C106/C104,"-")</f>
        <v>7.1621621621621612E-2</v>
      </c>
      <c r="E106" s="4"/>
      <c r="F106" s="51"/>
      <c r="G106" s="5" t="s">
        <v>444</v>
      </c>
      <c r="H106" s="61">
        <f>'4 - MATERIAL HANDLING OPERATION'!F34</f>
        <v>6.2734815112156436E-2</v>
      </c>
      <c r="I106" s="68">
        <f>IF(H104&gt;0,H106/H104,"-")</f>
        <v>7.1621621621621612E-2</v>
      </c>
      <c r="J106" s="4"/>
      <c r="K106" s="51"/>
      <c r="L106" s="5" t="s">
        <v>444</v>
      </c>
      <c r="M106" s="61">
        <f>'4 - MATERIAL HANDLING OPERATION'!F43</f>
        <v>0.29206423548659521</v>
      </c>
      <c r="N106" s="68">
        <f>IF(M104&gt;0,M106/M104,"-")</f>
        <v>7.1621621621621612E-2</v>
      </c>
      <c r="O106" s="4"/>
    </row>
    <row r="107" spans="1:16" ht="15.75" thickBot="1" x14ac:dyDescent="0.3">
      <c r="B107" s="7"/>
      <c r="C107" s="8"/>
      <c r="D107" s="8"/>
      <c r="E107" s="9"/>
      <c r="F107" s="51"/>
      <c r="G107" s="7"/>
      <c r="H107" s="8"/>
      <c r="I107" s="8"/>
      <c r="J107" s="9"/>
      <c r="K107" s="51"/>
      <c r="L107" s="7"/>
      <c r="M107" s="8"/>
      <c r="N107" s="8"/>
      <c r="O107" s="9"/>
    </row>
    <row r="108" spans="1:16" ht="15.75" thickTop="1" x14ac:dyDescent="0.25">
      <c r="B108" s="51"/>
      <c r="C108" s="51"/>
      <c r="D108" s="51"/>
      <c r="E108" s="51"/>
      <c r="F108" s="51"/>
      <c r="G108" s="51"/>
      <c r="H108" s="51"/>
      <c r="I108" s="51"/>
      <c r="J108" s="51"/>
      <c r="K108" s="51"/>
      <c r="L108" s="51"/>
      <c r="M108" s="51"/>
      <c r="N108" s="51"/>
      <c r="O108" s="51"/>
    </row>
    <row r="109" spans="1:16" x14ac:dyDescent="0.25">
      <c r="B109" s="309" t="s">
        <v>5</v>
      </c>
      <c r="C109" s="309"/>
      <c r="D109" s="309"/>
      <c r="E109" s="309"/>
      <c r="F109" s="309"/>
      <c r="G109" s="309"/>
      <c r="H109" s="309"/>
      <c r="I109" s="309"/>
      <c r="J109" s="309"/>
      <c r="K109" s="309"/>
      <c r="L109" s="309"/>
      <c r="M109" s="309"/>
      <c r="N109" s="309"/>
      <c r="O109" s="309"/>
    </row>
    <row r="110" spans="1:16" ht="15.75" thickBot="1" x14ac:dyDescent="0.3">
      <c r="B110" s="51"/>
      <c r="C110" s="51"/>
      <c r="D110" s="51"/>
      <c r="E110" s="51"/>
      <c r="F110" s="51"/>
      <c r="G110" s="51"/>
      <c r="H110" s="51"/>
      <c r="I110" s="51"/>
      <c r="J110" s="51"/>
      <c r="K110" s="51"/>
      <c r="L110" s="51"/>
      <c r="M110" s="51"/>
      <c r="N110" s="51"/>
      <c r="O110" s="51"/>
    </row>
    <row r="111" spans="1:16" ht="15.75" thickTop="1" x14ac:dyDescent="0.25">
      <c r="B111" s="327" t="s">
        <v>2</v>
      </c>
      <c r="C111" s="328"/>
      <c r="D111" s="328"/>
      <c r="E111" s="329"/>
      <c r="F111" s="51"/>
      <c r="G111" s="327" t="s">
        <v>4</v>
      </c>
      <c r="H111" s="328"/>
      <c r="I111" s="328"/>
      <c r="J111" s="329"/>
      <c r="K111" s="51"/>
      <c r="L111" s="327" t="s">
        <v>124</v>
      </c>
      <c r="M111" s="328"/>
      <c r="N111" s="328"/>
      <c r="O111" s="329"/>
    </row>
    <row r="112" spans="1:16" x14ac:dyDescent="0.25">
      <c r="B112" s="1"/>
      <c r="C112" s="2" t="s">
        <v>132</v>
      </c>
      <c r="D112" s="3" t="s">
        <v>3</v>
      </c>
      <c r="E112" s="4"/>
      <c r="F112" s="51"/>
      <c r="G112" s="1"/>
      <c r="H112" s="2" t="s">
        <v>132</v>
      </c>
      <c r="I112" s="3" t="s">
        <v>3</v>
      </c>
      <c r="J112" s="4"/>
      <c r="K112" s="51"/>
      <c r="L112" s="1"/>
      <c r="M112" s="2" t="s">
        <v>132</v>
      </c>
      <c r="N112" s="3" t="s">
        <v>3</v>
      </c>
      <c r="O112" s="4"/>
    </row>
    <row r="113" spans="2:15" x14ac:dyDescent="0.25">
      <c r="B113" s="5" t="s">
        <v>0</v>
      </c>
      <c r="C113" s="61">
        <f>'4 - MATERIAL HANDLING OPERATION'!E23</f>
        <v>4.1970073506091259</v>
      </c>
      <c r="D113" s="68">
        <f>IF(C113&gt;0,C113/C113,"-")</f>
        <v>1</v>
      </c>
      <c r="E113" s="4"/>
      <c r="F113" s="51"/>
      <c r="G113" s="5" t="s">
        <v>0</v>
      </c>
      <c r="H113" s="61">
        <f>'4 - MATERIAL HANDLING OPERATION'!E32</f>
        <v>0.90150880584935422</v>
      </c>
      <c r="I113" s="68">
        <f>IF(H113&gt;0,H113/H113,"-")</f>
        <v>1</v>
      </c>
      <c r="J113" s="4"/>
      <c r="K113" s="51"/>
      <c r="L113" s="5" t="s">
        <v>0</v>
      </c>
      <c r="M113" s="61">
        <f>'4 - MATERIAL HANDLING OPERATION'!E41</f>
        <v>4.197007350609125</v>
      </c>
      <c r="N113" s="68">
        <f>IF(M113&gt;0,M113/M113,"-")</f>
        <v>1</v>
      </c>
      <c r="O113" s="4"/>
    </row>
    <row r="114" spans="2:15" x14ac:dyDescent="0.25">
      <c r="B114" s="5" t="s">
        <v>1</v>
      </c>
      <c r="C114" s="61">
        <f>'4 - MATERIAL HANDLING OPERATION'!E24</f>
        <v>1.9850710442070183</v>
      </c>
      <c r="D114" s="68">
        <f>IF(C113&gt;0,C114/C113,"-")</f>
        <v>0.4729729729729728</v>
      </c>
      <c r="E114" s="4"/>
      <c r="F114" s="51"/>
      <c r="G114" s="5" t="s">
        <v>1</v>
      </c>
      <c r="H114" s="61">
        <f>'4 - MATERIAL HANDLING OPERATION'!E33</f>
        <v>0.42638930006388376</v>
      </c>
      <c r="I114" s="68">
        <f>IF(H113&gt;0,H114/H113,"-")</f>
        <v>0.47297297297297297</v>
      </c>
      <c r="J114" s="4"/>
      <c r="K114" s="51"/>
      <c r="L114" s="5" t="s">
        <v>1</v>
      </c>
      <c r="M114" s="61">
        <f>'4 - MATERIAL HANDLING OPERATION'!E42</f>
        <v>1.9850710442070187</v>
      </c>
      <c r="N114" s="68">
        <f>IF(M113&gt;0,M114/M113,"-")</f>
        <v>0.47297297297297303</v>
      </c>
      <c r="O114" s="4"/>
    </row>
    <row r="115" spans="2:15" x14ac:dyDescent="0.25">
      <c r="B115" s="5" t="s">
        <v>444</v>
      </c>
      <c r="C115" s="61">
        <f>'4 - MATERIAL HANDLING OPERATION'!E25</f>
        <v>0.30059647240849136</v>
      </c>
      <c r="D115" s="68">
        <f>IF(C113&gt;0,C115/C113,"-")</f>
        <v>7.1621621621621598E-2</v>
      </c>
      <c r="E115" s="4"/>
      <c r="F115" s="51"/>
      <c r="G115" s="5" t="s">
        <v>444</v>
      </c>
      <c r="H115" s="61">
        <f>'4 - MATERIAL HANDLING OPERATION'!E34</f>
        <v>6.4567522581102404E-2</v>
      </c>
      <c r="I115" s="68">
        <f>IF(H113&gt;0,H115/H113,"-")</f>
        <v>7.1621621621621626E-2</v>
      </c>
      <c r="J115" s="4"/>
      <c r="K115" s="51"/>
      <c r="L115" s="5" t="s">
        <v>444</v>
      </c>
      <c r="M115" s="61">
        <f>'4 - MATERIAL HANDLING OPERATION'!E43</f>
        <v>0.30059647240849141</v>
      </c>
      <c r="N115" s="68">
        <f>IF(M113&gt;0,M115/M113,"-")</f>
        <v>7.1621621621621626E-2</v>
      </c>
      <c r="O115" s="4"/>
    </row>
    <row r="116" spans="2:15" ht="15.75" thickBot="1" x14ac:dyDescent="0.3">
      <c r="B116" s="7"/>
      <c r="C116" s="8"/>
      <c r="D116" s="8"/>
      <c r="E116" s="9"/>
      <c r="F116" s="51"/>
      <c r="G116" s="7"/>
      <c r="H116" s="8"/>
      <c r="I116" s="8"/>
      <c r="J116" s="9"/>
      <c r="K116" s="51"/>
      <c r="L116" s="7"/>
      <c r="M116" s="8"/>
      <c r="N116" s="8"/>
      <c r="O116" s="9"/>
    </row>
    <row r="117" spans="2:15" ht="15.75" thickTop="1" x14ac:dyDescent="0.25">
      <c r="B117" s="51"/>
      <c r="C117" s="51"/>
      <c r="D117" s="51"/>
      <c r="E117" s="51"/>
      <c r="F117" s="51"/>
      <c r="G117" s="51"/>
      <c r="H117" s="51"/>
      <c r="I117" s="51"/>
      <c r="J117" s="51"/>
      <c r="K117" s="51"/>
      <c r="L117" s="51"/>
      <c r="M117" s="51"/>
      <c r="N117" s="51"/>
      <c r="O117" s="51"/>
    </row>
    <row r="118" spans="2:15" x14ac:dyDescent="0.25">
      <c r="B118" s="309" t="s">
        <v>7</v>
      </c>
      <c r="C118" s="309"/>
      <c r="D118" s="309"/>
      <c r="E118" s="309"/>
      <c r="F118" s="309"/>
      <c r="G118" s="309"/>
      <c r="H118" s="309"/>
      <c r="I118" s="309"/>
      <c r="J118" s="309"/>
      <c r="K118" s="309"/>
      <c r="L118" s="309"/>
      <c r="M118" s="309"/>
      <c r="N118" s="309"/>
      <c r="O118" s="309"/>
    </row>
    <row r="119" spans="2:15" ht="15.75" thickBot="1" x14ac:dyDescent="0.3">
      <c r="B119" s="51"/>
      <c r="C119" s="51"/>
      <c r="D119" s="51"/>
      <c r="E119" s="51"/>
      <c r="F119" s="51"/>
      <c r="G119" s="51"/>
      <c r="H119" s="51"/>
      <c r="I119" s="51"/>
      <c r="J119" s="51"/>
      <c r="K119" s="51"/>
      <c r="L119" s="51"/>
      <c r="M119" s="51"/>
      <c r="N119" s="51"/>
      <c r="O119" s="51"/>
    </row>
    <row r="120" spans="2:15" ht="15.75" thickTop="1" x14ac:dyDescent="0.25">
      <c r="B120" s="327" t="s">
        <v>2</v>
      </c>
      <c r="C120" s="328"/>
      <c r="D120" s="328"/>
      <c r="E120" s="329"/>
      <c r="F120" s="51"/>
      <c r="G120" s="327" t="s">
        <v>4</v>
      </c>
      <c r="H120" s="328"/>
      <c r="I120" s="328"/>
      <c r="J120" s="329"/>
      <c r="K120" s="51"/>
      <c r="L120" s="327" t="s">
        <v>124</v>
      </c>
      <c r="M120" s="328"/>
      <c r="N120" s="328"/>
      <c r="O120" s="329"/>
    </row>
    <row r="121" spans="2:15" x14ac:dyDescent="0.25">
      <c r="B121" s="1"/>
      <c r="C121" s="2" t="s">
        <v>132</v>
      </c>
      <c r="D121" s="3" t="s">
        <v>3</v>
      </c>
      <c r="E121" s="4"/>
      <c r="F121" s="51"/>
      <c r="G121" s="1"/>
      <c r="H121" s="2" t="s">
        <v>132</v>
      </c>
      <c r="I121" s="3" t="s">
        <v>3</v>
      </c>
      <c r="J121" s="4"/>
      <c r="K121" s="51"/>
      <c r="L121" s="1"/>
      <c r="M121" s="2" t="s">
        <v>132</v>
      </c>
      <c r="N121" s="3" t="s">
        <v>3</v>
      </c>
      <c r="O121" s="4"/>
    </row>
    <row r="122" spans="2:15" x14ac:dyDescent="0.25">
      <c r="B122" s="5" t="s">
        <v>0</v>
      </c>
      <c r="C122" s="61">
        <f>'4 - MATERIAL HANDLING OPERATION'!D23</f>
        <v>4.3643301551233566</v>
      </c>
      <c r="D122" s="68">
        <f>IF(C122&gt;0,C122/C122,"-")</f>
        <v>1</v>
      </c>
      <c r="E122" s="4"/>
      <c r="F122" s="51"/>
      <c r="G122" s="5" t="s">
        <v>0</v>
      </c>
      <c r="H122" s="61">
        <f>'4 - MATERIAL HANDLING OPERATION'!D32</f>
        <v>0.93744941044874752</v>
      </c>
      <c r="I122" s="68">
        <f>IF(H122&gt;0,H122/H122,"-")</f>
        <v>1</v>
      </c>
      <c r="J122" s="4"/>
      <c r="K122" s="51"/>
      <c r="L122" s="5" t="s">
        <v>0</v>
      </c>
      <c r="M122" s="61">
        <f>'4 - MATERIAL HANDLING OPERATION'!D41</f>
        <v>0.21060341950302058</v>
      </c>
      <c r="N122" s="68">
        <f>IF(M122&gt;0,M122/M122,"-")</f>
        <v>1</v>
      </c>
      <c r="O122" s="4"/>
    </row>
    <row r="123" spans="2:15" x14ac:dyDescent="0.25">
      <c r="B123" s="5" t="s">
        <v>1</v>
      </c>
      <c r="C123" s="61">
        <f>'4 - MATERIAL HANDLING OPERATION'!D24</f>
        <v>2.0642102085042899</v>
      </c>
      <c r="D123" s="68">
        <f>IF(C122&gt;0,C123/C122,"-")</f>
        <v>0.47297297297297286</v>
      </c>
      <c r="E123" s="4"/>
      <c r="F123" s="51"/>
      <c r="G123" s="5" t="s">
        <v>1</v>
      </c>
      <c r="H123" s="61">
        <f>'4 - MATERIAL HANDLING OPERATION'!D33</f>
        <v>0.44338823467170491</v>
      </c>
      <c r="I123" s="68">
        <f>IF(H122&gt;0,H123/H122,"-")</f>
        <v>0.47297297297297297</v>
      </c>
      <c r="J123" s="4"/>
      <c r="K123" s="51"/>
      <c r="L123" s="5" t="s">
        <v>1</v>
      </c>
      <c r="M123" s="61">
        <f>'4 - MATERIAL HANDLING OPERATION'!D42</f>
        <v>9.9609725440617844E-2</v>
      </c>
      <c r="N123" s="68">
        <f>IF(M122&gt;0,M123/M122,"-")</f>
        <v>0.47297297297297297</v>
      </c>
      <c r="O123" s="4"/>
    </row>
    <row r="124" spans="2:15" x14ac:dyDescent="0.25">
      <c r="B124" s="5" t="s">
        <v>444</v>
      </c>
      <c r="C124" s="61">
        <f>'4 - MATERIAL HANDLING OPERATION'!D25</f>
        <v>0.31258040300207823</v>
      </c>
      <c r="D124" s="68">
        <f>IF(C122&gt;0,C124/C122,"-")</f>
        <v>7.1621621621621612E-2</v>
      </c>
      <c r="E124" s="4"/>
      <c r="F124" s="51"/>
      <c r="G124" s="5" t="s">
        <v>444</v>
      </c>
      <c r="H124" s="61">
        <f>'4 - MATERIAL HANDLING OPERATION'!D34</f>
        <v>6.7141646964572463E-2</v>
      </c>
      <c r="I124" s="68">
        <f>IF(H122&gt;0,H124/H122,"-")</f>
        <v>7.1621621621621626E-2</v>
      </c>
      <c r="J124" s="4"/>
      <c r="K124" s="51"/>
      <c r="L124" s="5" t="s">
        <v>444</v>
      </c>
      <c r="M124" s="61">
        <f>'4 - MATERIAL HANDLING OPERATION'!D43</f>
        <v>1.5083758423864987E-2</v>
      </c>
      <c r="N124" s="68">
        <f>IF(M122&gt;0,M124/M122,"-")</f>
        <v>7.1621621621621626E-2</v>
      </c>
      <c r="O124" s="4"/>
    </row>
    <row r="125" spans="2:15" ht="15.75" thickBot="1" x14ac:dyDescent="0.3">
      <c r="B125" s="7"/>
      <c r="C125" s="8"/>
      <c r="D125" s="8"/>
      <c r="E125" s="9"/>
      <c r="F125" s="51"/>
      <c r="G125" s="7"/>
      <c r="H125" s="8"/>
      <c r="I125" s="8"/>
      <c r="J125" s="9"/>
      <c r="K125" s="51"/>
      <c r="L125" s="7"/>
      <c r="M125" s="8"/>
      <c r="N125" s="8"/>
      <c r="O125" s="9"/>
    </row>
    <row r="126" spans="2:15" s="51" customFormat="1" ht="15.75" thickTop="1" x14ac:dyDescent="0.25">
      <c r="B126" s="50"/>
      <c r="C126" s="50"/>
      <c r="D126" s="50"/>
      <c r="E126" s="50"/>
      <c r="G126" s="50"/>
      <c r="H126" s="50"/>
      <c r="I126" s="50"/>
      <c r="J126" s="50"/>
      <c r="L126" s="50"/>
      <c r="M126" s="50"/>
      <c r="N126" s="50"/>
      <c r="O126" s="50"/>
    </row>
    <row r="127" spans="2:15" s="51" customFormat="1" x14ac:dyDescent="0.25">
      <c r="B127" s="50"/>
      <c r="C127" s="50"/>
      <c r="D127" s="50"/>
      <c r="E127" s="50"/>
      <c r="G127" s="50"/>
      <c r="H127" s="50"/>
      <c r="I127" s="50"/>
      <c r="J127" s="50"/>
      <c r="L127" s="50"/>
      <c r="M127" s="50"/>
      <c r="N127" s="50"/>
      <c r="O127" s="50"/>
    </row>
    <row r="128" spans="2:15" s="51" customFormat="1" x14ac:dyDescent="0.25">
      <c r="B128" s="50"/>
      <c r="C128" s="50"/>
      <c r="D128" s="50"/>
      <c r="E128" s="50"/>
      <c r="G128" s="50"/>
      <c r="H128" s="50"/>
      <c r="I128" s="50"/>
      <c r="J128" s="50"/>
      <c r="L128" s="50"/>
      <c r="M128" s="50"/>
      <c r="N128" s="50"/>
      <c r="O128" s="50"/>
    </row>
    <row r="130" spans="1:16" x14ac:dyDescent="0.25">
      <c r="A130" s="309" t="s">
        <v>12</v>
      </c>
      <c r="B130" s="309"/>
      <c r="C130" s="309"/>
      <c r="D130" s="309"/>
      <c r="E130" s="309"/>
      <c r="F130" s="309"/>
      <c r="G130" s="309"/>
      <c r="H130" s="309"/>
      <c r="I130" s="309"/>
      <c r="J130" s="309"/>
      <c r="K130" s="309"/>
      <c r="L130" s="309"/>
      <c r="M130" s="309"/>
      <c r="N130" s="309"/>
      <c r="O130" s="309"/>
      <c r="P130" s="309"/>
    </row>
    <row r="132" spans="1:16" x14ac:dyDescent="0.25">
      <c r="B132" s="309" t="s">
        <v>6</v>
      </c>
      <c r="C132" s="309"/>
      <c r="D132" s="309"/>
      <c r="E132" s="309"/>
      <c r="F132" s="309"/>
      <c r="G132" s="309"/>
      <c r="H132" s="309"/>
      <c r="I132" s="309"/>
      <c r="J132" s="309"/>
      <c r="K132" s="309"/>
      <c r="L132" s="309"/>
      <c r="M132" s="309"/>
      <c r="N132" s="309"/>
      <c r="O132" s="309"/>
      <c r="P132" s="10"/>
    </row>
    <row r="133" spans="1:16" ht="15.75" thickBot="1" x14ac:dyDescent="0.3"/>
    <row r="134" spans="1:16" ht="15.75" thickTop="1" x14ac:dyDescent="0.25">
      <c r="B134" s="327" t="s">
        <v>2</v>
      </c>
      <c r="C134" s="328"/>
      <c r="D134" s="328"/>
      <c r="E134" s="329"/>
      <c r="F134" s="51"/>
      <c r="G134" s="327" t="s">
        <v>4</v>
      </c>
      <c r="H134" s="328"/>
      <c r="I134" s="328"/>
      <c r="J134" s="329"/>
      <c r="K134" s="51"/>
      <c r="L134" s="327" t="s">
        <v>124</v>
      </c>
      <c r="M134" s="328"/>
      <c r="N134" s="328"/>
      <c r="O134" s="329"/>
    </row>
    <row r="135" spans="1:16" x14ac:dyDescent="0.25">
      <c r="B135" s="1"/>
      <c r="C135" s="2" t="s">
        <v>132</v>
      </c>
      <c r="D135" s="3" t="s">
        <v>3</v>
      </c>
      <c r="E135" s="4"/>
      <c r="F135" s="51"/>
      <c r="G135" s="1"/>
      <c r="H135" s="2" t="s">
        <v>132</v>
      </c>
      <c r="I135" s="3" t="s">
        <v>3</v>
      </c>
      <c r="J135" s="4"/>
      <c r="K135" s="51"/>
      <c r="L135" s="1"/>
      <c r="M135" s="2" t="s">
        <v>132</v>
      </c>
      <c r="N135" s="3" t="s">
        <v>3</v>
      </c>
      <c r="O135" s="4"/>
    </row>
    <row r="136" spans="1:16" x14ac:dyDescent="0.25">
      <c r="B136" s="5" t="s">
        <v>0</v>
      </c>
      <c r="C136" s="61">
        <f>'5 - STOCKPILES'!E37</f>
        <v>7.8379241699851248</v>
      </c>
      <c r="D136" s="68">
        <f>IF(C136&gt;0,C136/C136,"-")</f>
        <v>1</v>
      </c>
      <c r="E136" s="4"/>
      <c r="F136" s="51"/>
      <c r="G136" s="5" t="s">
        <v>0</v>
      </c>
      <c r="H136" s="61">
        <f>'5 - STOCKPILES'!E46</f>
        <v>3.9032485748313013</v>
      </c>
      <c r="I136" s="68">
        <f>IF(H136&gt;0,H136/H136,"-")</f>
        <v>1</v>
      </c>
      <c r="J136" s="4"/>
      <c r="K136" s="51"/>
      <c r="L136" s="5" t="s">
        <v>0</v>
      </c>
      <c r="M136" s="61">
        <f>'5 - STOCKPILES'!E55</f>
        <v>7.9229775377105387</v>
      </c>
      <c r="N136" s="68">
        <f>IF(M136&gt;0,M136/M136,"-")</f>
        <v>1</v>
      </c>
      <c r="O136" s="4"/>
    </row>
    <row r="137" spans="1:16" x14ac:dyDescent="0.25">
      <c r="B137" s="5" t="s">
        <v>1</v>
      </c>
      <c r="C137" s="61">
        <f>'5 - STOCKPILES'!E38</f>
        <v>3.9189620849925624</v>
      </c>
      <c r="D137" s="68">
        <f>IF(C136&gt;0,C137/C136,"-")</f>
        <v>0.5</v>
      </c>
      <c r="E137" s="4"/>
      <c r="F137" s="51"/>
      <c r="G137" s="5" t="s">
        <v>1</v>
      </c>
      <c r="H137" s="61">
        <f>'5 - STOCKPILES'!E47</f>
        <v>1.9516242874156506</v>
      </c>
      <c r="I137" s="68">
        <f>IF(H136&gt;0,H137/H136,"-")</f>
        <v>0.5</v>
      </c>
      <c r="J137" s="4"/>
      <c r="K137" s="51"/>
      <c r="L137" s="5" t="s">
        <v>1</v>
      </c>
      <c r="M137" s="61">
        <f>'5 - STOCKPILES'!E56</f>
        <v>3.9614887688552693</v>
      </c>
      <c r="N137" s="68">
        <f>IF(M136&gt;0,M137/M136,"-")</f>
        <v>0.5</v>
      </c>
      <c r="O137" s="4"/>
    </row>
    <row r="138" spans="1:16" x14ac:dyDescent="0.25">
      <c r="B138" s="5" t="s">
        <v>444</v>
      </c>
      <c r="C138" s="61">
        <f>'5 - STOCKPILES'!E39</f>
        <v>1.5675848339970249</v>
      </c>
      <c r="D138" s="68">
        <f>IF(C136&gt;0,C138/C136,"-")</f>
        <v>0.19999999999999998</v>
      </c>
      <c r="E138" s="4"/>
      <c r="F138" s="51"/>
      <c r="G138" s="5" t="s">
        <v>444</v>
      </c>
      <c r="H138" s="61">
        <f>'5 - STOCKPILES'!E48</f>
        <v>0.78064971496626001</v>
      </c>
      <c r="I138" s="68">
        <f>IF(H136&gt;0,H138/H136,"-")</f>
        <v>0.19999999999999993</v>
      </c>
      <c r="J138" s="4"/>
      <c r="K138" s="51"/>
      <c r="L138" s="5" t="s">
        <v>444</v>
      </c>
      <c r="M138" s="61">
        <f>'5 - STOCKPILES'!E57</f>
        <v>1.5845955075421081</v>
      </c>
      <c r="N138" s="68">
        <f>IF(M136&gt;0,M138/M136,"-")</f>
        <v>0.20000000000000004</v>
      </c>
      <c r="O138" s="4"/>
    </row>
    <row r="139" spans="1:16" ht="15.75" thickBot="1" x14ac:dyDescent="0.3">
      <c r="B139" s="7"/>
      <c r="C139" s="8"/>
      <c r="D139" s="8"/>
      <c r="E139" s="9"/>
      <c r="F139" s="51"/>
      <c r="G139" s="7"/>
      <c r="H139" s="8"/>
      <c r="I139" s="8"/>
      <c r="J139" s="9"/>
      <c r="K139" s="51"/>
      <c r="L139" s="7"/>
      <c r="M139" s="8"/>
      <c r="N139" s="8"/>
      <c r="O139" s="9"/>
    </row>
    <row r="140" spans="1:16" ht="15.75" thickTop="1" x14ac:dyDescent="0.25">
      <c r="B140" s="51"/>
      <c r="C140" s="51"/>
      <c r="D140" s="51"/>
      <c r="E140" s="51"/>
      <c r="F140" s="51"/>
      <c r="G140" s="51"/>
      <c r="H140" s="51"/>
      <c r="I140" s="51"/>
      <c r="J140" s="51"/>
      <c r="K140" s="51"/>
      <c r="L140" s="51"/>
      <c r="M140" s="51"/>
      <c r="N140" s="51"/>
      <c r="O140" s="51"/>
    </row>
    <row r="141" spans="1:16" x14ac:dyDescent="0.25">
      <c r="B141" s="309" t="s">
        <v>5</v>
      </c>
      <c r="C141" s="309"/>
      <c r="D141" s="309"/>
      <c r="E141" s="309"/>
      <c r="F141" s="309"/>
      <c r="G141" s="309"/>
      <c r="H141" s="309"/>
      <c r="I141" s="309"/>
      <c r="J141" s="309"/>
      <c r="K141" s="309"/>
      <c r="L141" s="309"/>
      <c r="M141" s="309"/>
      <c r="N141" s="309"/>
      <c r="O141" s="309"/>
    </row>
    <row r="142" spans="1:16" ht="15.75" thickBot="1" x14ac:dyDescent="0.3">
      <c r="B142" s="51"/>
      <c r="C142" s="51"/>
      <c r="D142" s="51"/>
      <c r="E142" s="51"/>
      <c r="F142" s="51"/>
      <c r="G142" s="51"/>
      <c r="H142" s="51"/>
      <c r="I142" s="51"/>
      <c r="J142" s="51"/>
      <c r="K142" s="51"/>
      <c r="L142" s="51"/>
      <c r="M142" s="51"/>
      <c r="N142" s="51"/>
      <c r="O142" s="51"/>
    </row>
    <row r="143" spans="1:16" ht="15.75" thickTop="1" x14ac:dyDescent="0.25">
      <c r="B143" s="327" t="s">
        <v>2</v>
      </c>
      <c r="C143" s="328"/>
      <c r="D143" s="328"/>
      <c r="E143" s="329"/>
      <c r="F143" s="51"/>
      <c r="G143" s="327" t="s">
        <v>4</v>
      </c>
      <c r="H143" s="328"/>
      <c r="I143" s="328"/>
      <c r="J143" s="329"/>
      <c r="K143" s="51"/>
      <c r="L143" s="327" t="s">
        <v>124</v>
      </c>
      <c r="M143" s="328"/>
      <c r="N143" s="328"/>
      <c r="O143" s="329"/>
    </row>
    <row r="144" spans="1:16" x14ac:dyDescent="0.25">
      <c r="B144" s="1"/>
      <c r="C144" s="2" t="s">
        <v>132</v>
      </c>
      <c r="D144" s="3" t="s">
        <v>3</v>
      </c>
      <c r="E144" s="4"/>
      <c r="F144" s="51"/>
      <c r="G144" s="1"/>
      <c r="H144" s="2" t="s">
        <v>132</v>
      </c>
      <c r="I144" s="3" t="s">
        <v>3</v>
      </c>
      <c r="J144" s="4"/>
      <c r="K144" s="51"/>
      <c r="L144" s="1"/>
      <c r="M144" s="2" t="s">
        <v>132</v>
      </c>
      <c r="N144" s="3" t="s">
        <v>3</v>
      </c>
      <c r="O144" s="4"/>
    </row>
    <row r="145" spans="2:15" x14ac:dyDescent="0.25">
      <c r="B145" s="5" t="s">
        <v>0</v>
      </c>
      <c r="C145" s="61">
        <f>'5 - STOCKPILES'!D37</f>
        <v>2.4565755219640697</v>
      </c>
      <c r="D145" s="68">
        <f>IF(C145&gt;0,C145/C145,"-")</f>
        <v>1</v>
      </c>
      <c r="E145" s="4"/>
      <c r="F145" s="51"/>
      <c r="G145" s="5" t="s">
        <v>0</v>
      </c>
      <c r="H145" s="61">
        <f>'5 - STOCKPILES'!D46</f>
        <v>1.2151722536966008</v>
      </c>
      <c r="I145" s="68">
        <f>IF(H145&gt;0,H145/H145,"-")</f>
        <v>1</v>
      </c>
      <c r="J145" s="4"/>
      <c r="K145" s="51"/>
      <c r="L145" s="5" t="s">
        <v>0</v>
      </c>
      <c r="M145" s="61">
        <f>'5 - STOCKPILES'!D55</f>
        <v>2.4670810657026681</v>
      </c>
      <c r="N145" s="68">
        <f>IF(M145&gt;0,M145/M145,"-")</f>
        <v>1</v>
      </c>
      <c r="O145" s="4"/>
    </row>
    <row r="146" spans="2:15" x14ac:dyDescent="0.25">
      <c r="B146" s="5" t="s">
        <v>1</v>
      </c>
      <c r="C146" s="61">
        <f>'5 - STOCKPILES'!D38</f>
        <v>1.2282877609820348</v>
      </c>
      <c r="D146" s="68">
        <f>IF(C145&gt;0,C146/C145,"-")</f>
        <v>0.5</v>
      </c>
      <c r="E146" s="4"/>
      <c r="F146" s="51"/>
      <c r="G146" s="5" t="s">
        <v>1</v>
      </c>
      <c r="H146" s="61">
        <f>'5 - STOCKPILES'!D47</f>
        <v>0.60758612684830038</v>
      </c>
      <c r="I146" s="68">
        <f>IF(H145&gt;0,H146/H145,"-")</f>
        <v>0.5</v>
      </c>
      <c r="J146" s="4"/>
      <c r="K146" s="51"/>
      <c r="L146" s="5" t="s">
        <v>1</v>
      </c>
      <c r="M146" s="61">
        <f>'5 - STOCKPILES'!D56</f>
        <v>1.233540532851334</v>
      </c>
      <c r="N146" s="68">
        <f>IF(M145&gt;0,M146/M145,"-")</f>
        <v>0.5</v>
      </c>
      <c r="O146" s="4"/>
    </row>
    <row r="147" spans="2:15" x14ac:dyDescent="0.25">
      <c r="B147" s="5" t="s">
        <v>444</v>
      </c>
      <c r="C147" s="61">
        <f>'5 - STOCKPILES'!D39</f>
        <v>0.49131510439281395</v>
      </c>
      <c r="D147" s="68">
        <f>IF(C145&gt;0,C147/C145,"-")</f>
        <v>0.2</v>
      </c>
      <c r="E147" s="4"/>
      <c r="F147" s="51"/>
      <c r="G147" s="5" t="s">
        <v>444</v>
      </c>
      <c r="H147" s="61">
        <f>'5 - STOCKPILES'!D48</f>
        <v>0.24303445073932012</v>
      </c>
      <c r="I147" s="68">
        <f>IF(H145&gt;0,H147/H145,"-")</f>
        <v>0.19999999999999998</v>
      </c>
      <c r="J147" s="4"/>
      <c r="K147" s="51"/>
      <c r="L147" s="5" t="s">
        <v>444</v>
      </c>
      <c r="M147" s="61">
        <f>'5 - STOCKPILES'!D57</f>
        <v>0.49341621314053363</v>
      </c>
      <c r="N147" s="68">
        <f>IF(M145&gt;0,M147/M145,"-")</f>
        <v>0.2</v>
      </c>
      <c r="O147" s="4"/>
    </row>
    <row r="148" spans="2:15" ht="15.75" thickBot="1" x14ac:dyDescent="0.3">
      <c r="B148" s="7"/>
      <c r="C148" s="8"/>
      <c r="D148" s="8"/>
      <c r="E148" s="9"/>
      <c r="F148" s="51"/>
      <c r="G148" s="7"/>
      <c r="H148" s="8"/>
      <c r="I148" s="8"/>
      <c r="J148" s="9"/>
      <c r="K148" s="51"/>
      <c r="L148" s="7"/>
      <c r="M148" s="8"/>
      <c r="N148" s="8"/>
      <c r="O148" s="9"/>
    </row>
    <row r="149" spans="2:15" ht="15.75" thickTop="1" x14ac:dyDescent="0.25">
      <c r="B149" s="51"/>
      <c r="C149" s="51"/>
      <c r="D149" s="51"/>
      <c r="E149" s="51"/>
      <c r="F149" s="51"/>
      <c r="G149" s="51"/>
      <c r="H149" s="51"/>
      <c r="I149" s="51"/>
      <c r="J149" s="51"/>
      <c r="K149" s="51"/>
      <c r="L149" s="51"/>
      <c r="M149" s="51"/>
      <c r="N149" s="51"/>
      <c r="O149" s="51"/>
    </row>
    <row r="150" spans="2:15" x14ac:dyDescent="0.25">
      <c r="B150" s="309" t="s">
        <v>7</v>
      </c>
      <c r="C150" s="309"/>
      <c r="D150" s="309"/>
      <c r="E150" s="309"/>
      <c r="F150" s="309"/>
      <c r="G150" s="309"/>
      <c r="H150" s="309"/>
      <c r="I150" s="309"/>
      <c r="J150" s="309"/>
      <c r="K150" s="309"/>
      <c r="L150" s="309"/>
      <c r="M150" s="309"/>
      <c r="N150" s="309"/>
      <c r="O150" s="309"/>
    </row>
    <row r="151" spans="2:15" ht="15.75" thickBot="1" x14ac:dyDescent="0.3">
      <c r="B151" s="51"/>
      <c r="C151" s="51"/>
      <c r="D151" s="51"/>
      <c r="E151" s="51"/>
      <c r="F151" s="51"/>
      <c r="G151" s="51"/>
      <c r="H151" s="51"/>
      <c r="I151" s="51"/>
      <c r="J151" s="51"/>
      <c r="K151" s="51"/>
      <c r="L151" s="51"/>
      <c r="M151" s="51"/>
      <c r="N151" s="51"/>
      <c r="O151" s="51"/>
    </row>
    <row r="152" spans="2:15" ht="15.75" thickTop="1" x14ac:dyDescent="0.25">
      <c r="B152" s="327" t="s">
        <v>2</v>
      </c>
      <c r="C152" s="328"/>
      <c r="D152" s="328"/>
      <c r="E152" s="329"/>
      <c r="F152" s="51"/>
      <c r="G152" s="327" t="s">
        <v>4</v>
      </c>
      <c r="H152" s="328"/>
      <c r="I152" s="328"/>
      <c r="J152" s="329"/>
      <c r="K152" s="51"/>
      <c r="L152" s="327" t="s">
        <v>124</v>
      </c>
      <c r="M152" s="328"/>
      <c r="N152" s="328"/>
      <c r="O152" s="329"/>
    </row>
    <row r="153" spans="2:15" x14ac:dyDescent="0.25">
      <c r="B153" s="1"/>
      <c r="C153" s="2" t="s">
        <v>132</v>
      </c>
      <c r="D153" s="3" t="s">
        <v>3</v>
      </c>
      <c r="E153" s="4"/>
      <c r="F153" s="51"/>
      <c r="G153" s="1"/>
      <c r="H153" s="2" t="s">
        <v>132</v>
      </c>
      <c r="I153" s="3" t="s">
        <v>3</v>
      </c>
      <c r="J153" s="4"/>
      <c r="K153" s="51"/>
      <c r="L153" s="1"/>
      <c r="M153" s="2" t="s">
        <v>132</v>
      </c>
      <c r="N153" s="3" t="s">
        <v>3</v>
      </c>
      <c r="O153" s="4"/>
    </row>
    <row r="154" spans="2:15" x14ac:dyDescent="0.25">
      <c r="B154" s="5" t="s">
        <v>0</v>
      </c>
      <c r="C154" s="61">
        <f>'5 - STOCKPILES'!C37</f>
        <v>1.2291052728792444</v>
      </c>
      <c r="D154" s="68">
        <f>IF(C154&gt;0,C154/C154,"-")</f>
        <v>1</v>
      </c>
      <c r="E154" s="4"/>
      <c r="F154" s="51"/>
      <c r="G154" s="5" t="s">
        <v>0</v>
      </c>
      <c r="H154" s="61">
        <f>'5 - STOCKPILES'!C46</f>
        <v>0.49854805147291364</v>
      </c>
      <c r="I154" s="68">
        <f>IF(H154&gt;0,H154/H154,"-")</f>
        <v>1</v>
      </c>
      <c r="J154" s="4"/>
      <c r="K154" s="51"/>
      <c r="L154" s="5" t="s">
        <v>0</v>
      </c>
      <c r="M154" s="61">
        <f>'5 - STOCKPILES'!C55</f>
        <v>6.1208262826411564E-2</v>
      </c>
      <c r="N154" s="68">
        <f>IF(M154&gt;0,M154/M154,"-")</f>
        <v>1</v>
      </c>
      <c r="O154" s="4"/>
    </row>
    <row r="155" spans="2:15" x14ac:dyDescent="0.25">
      <c r="B155" s="5" t="s">
        <v>1</v>
      </c>
      <c r="C155" s="61">
        <f>'5 - STOCKPILES'!C38</f>
        <v>0.61455263643962221</v>
      </c>
      <c r="D155" s="68">
        <f>IF(C154&gt;0,C155/C154,"-")</f>
        <v>0.5</v>
      </c>
      <c r="E155" s="4"/>
      <c r="F155" s="51"/>
      <c r="G155" s="5" t="s">
        <v>1</v>
      </c>
      <c r="H155" s="61">
        <f>'5 - STOCKPILES'!C47</f>
        <v>0.24927402573645682</v>
      </c>
      <c r="I155" s="68">
        <f>IF(H154&gt;0,H155/H154,"-")</f>
        <v>0.5</v>
      </c>
      <c r="J155" s="4"/>
      <c r="K155" s="51"/>
      <c r="L155" s="5" t="s">
        <v>1</v>
      </c>
      <c r="M155" s="61">
        <f>'5 - STOCKPILES'!C56</f>
        <v>3.0604131413205782E-2</v>
      </c>
      <c r="N155" s="68">
        <f>IF(M154&gt;0,M155/M154,"-")</f>
        <v>0.5</v>
      </c>
      <c r="O155" s="4"/>
    </row>
    <row r="156" spans="2:15" x14ac:dyDescent="0.25">
      <c r="B156" s="5" t="s">
        <v>444</v>
      </c>
      <c r="C156" s="61">
        <f>'5 - STOCKPILES'!C39</f>
        <v>0.24582105457584891</v>
      </c>
      <c r="D156" s="68">
        <f>IF(C154&gt;0,C156/C154,"-")</f>
        <v>0.2</v>
      </c>
      <c r="E156" s="4"/>
      <c r="F156" s="51"/>
      <c r="G156" s="5" t="s">
        <v>444</v>
      </c>
      <c r="H156" s="61">
        <f>'5 - STOCKPILES'!C48</f>
        <v>9.9709610294582723E-2</v>
      </c>
      <c r="I156" s="68">
        <f>IF(H154&gt;0,H156/H154,"-")</f>
        <v>0.19999999999999998</v>
      </c>
      <c r="J156" s="4"/>
      <c r="K156" s="51"/>
      <c r="L156" s="5" t="s">
        <v>444</v>
      </c>
      <c r="M156" s="61">
        <f>'5 - STOCKPILES'!C57</f>
        <v>1.2241652565282314E-2</v>
      </c>
      <c r="N156" s="68">
        <f>IF(M154&gt;0,M156/M154,"-")</f>
        <v>0.20000000000000004</v>
      </c>
      <c r="O156" s="4"/>
    </row>
    <row r="157" spans="2:15" ht="15.75" thickBot="1" x14ac:dyDescent="0.3">
      <c r="B157" s="7"/>
      <c r="C157" s="8"/>
      <c r="D157" s="8"/>
      <c r="E157" s="9"/>
      <c r="F157" s="51"/>
      <c r="G157" s="7"/>
      <c r="H157" s="8"/>
      <c r="I157" s="8"/>
      <c r="J157" s="9"/>
      <c r="K157" s="51"/>
      <c r="L157" s="7"/>
      <c r="M157" s="8"/>
      <c r="N157" s="8"/>
      <c r="O157" s="9"/>
    </row>
    <row r="158" spans="2:15" ht="15.75" thickTop="1" x14ac:dyDescent="0.25"/>
  </sheetData>
  <mergeCells count="74">
    <mergeCell ref="L6:O6"/>
    <mergeCell ref="B4:O4"/>
    <mergeCell ref="A2:P2"/>
    <mergeCell ref="A34:P34"/>
    <mergeCell ref="B36:O36"/>
    <mergeCell ref="B6:E6"/>
    <mergeCell ref="G6:J6"/>
    <mergeCell ref="G7:J11"/>
    <mergeCell ref="L7:O11"/>
    <mergeCell ref="L16:O20"/>
    <mergeCell ref="G25:J29"/>
    <mergeCell ref="L25:O29"/>
    <mergeCell ref="B38:E38"/>
    <mergeCell ref="G38:J38"/>
    <mergeCell ref="L38:O38"/>
    <mergeCell ref="B13:O13"/>
    <mergeCell ref="B15:E15"/>
    <mergeCell ref="G15:J15"/>
    <mergeCell ref="L15:O15"/>
    <mergeCell ref="B22:O22"/>
    <mergeCell ref="B24:E24"/>
    <mergeCell ref="G24:J24"/>
    <mergeCell ref="L24:O24"/>
    <mergeCell ref="G16:J20"/>
    <mergeCell ref="B77:O77"/>
    <mergeCell ref="B45:O45"/>
    <mergeCell ref="B47:E47"/>
    <mergeCell ref="G47:J47"/>
    <mergeCell ref="L47:O47"/>
    <mergeCell ref="B54:O54"/>
    <mergeCell ref="B56:E56"/>
    <mergeCell ref="G56:J56"/>
    <mergeCell ref="L56:O56"/>
    <mergeCell ref="A66:P66"/>
    <mergeCell ref="B68:O68"/>
    <mergeCell ref="B70:E70"/>
    <mergeCell ref="G70:J70"/>
    <mergeCell ref="L70:O70"/>
    <mergeCell ref="L71:O75"/>
    <mergeCell ref="B109:O109"/>
    <mergeCell ref="B79:E79"/>
    <mergeCell ref="G79:J79"/>
    <mergeCell ref="L79:O79"/>
    <mergeCell ref="B86:O86"/>
    <mergeCell ref="B88:E88"/>
    <mergeCell ref="G88:J88"/>
    <mergeCell ref="L88:O88"/>
    <mergeCell ref="A98:P98"/>
    <mergeCell ref="B100:O100"/>
    <mergeCell ref="B102:E102"/>
    <mergeCell ref="G102:J102"/>
    <mergeCell ref="L102:O102"/>
    <mergeCell ref="L80:O84"/>
    <mergeCell ref="L89:O93"/>
    <mergeCell ref="B141:O141"/>
    <mergeCell ref="B111:E111"/>
    <mergeCell ref="G111:J111"/>
    <mergeCell ref="L111:O111"/>
    <mergeCell ref="B118:O118"/>
    <mergeCell ref="B120:E120"/>
    <mergeCell ref="G120:J120"/>
    <mergeCell ref="L120:O120"/>
    <mergeCell ref="A130:P130"/>
    <mergeCell ref="B132:O132"/>
    <mergeCell ref="B134:E134"/>
    <mergeCell ref="G134:J134"/>
    <mergeCell ref="L134:O134"/>
    <mergeCell ref="B143:E143"/>
    <mergeCell ref="G143:J143"/>
    <mergeCell ref="L143:O143"/>
    <mergeCell ref="B150:O150"/>
    <mergeCell ref="B152:E152"/>
    <mergeCell ref="G152:J152"/>
    <mergeCell ref="L152:O152"/>
  </mergeCells>
  <conditionalFormatting sqref="C8:C10">
    <cfRule type="expression" dxfId="279" priority="373">
      <formula>C8=0</formula>
    </cfRule>
    <cfRule type="expression" dxfId="278" priority="384">
      <formula>C8&lt;0.01</formula>
    </cfRule>
    <cfRule type="expression" dxfId="277" priority="385">
      <formula>C8&lt;0.1</formula>
    </cfRule>
    <cfRule type="expression" dxfId="276" priority="386">
      <formula>C8&lt;1</formula>
    </cfRule>
    <cfRule type="expression" dxfId="275" priority="387">
      <formula>C8&lt;10</formula>
    </cfRule>
    <cfRule type="expression" dxfId="274" priority="388">
      <formula>C8&gt;10</formula>
    </cfRule>
  </conditionalFormatting>
  <conditionalFormatting sqref="G7">
    <cfRule type="expression" dxfId="273" priority="361">
      <formula>G7=0</formula>
    </cfRule>
    <cfRule type="expression" dxfId="272" priority="362">
      <formula>G7&lt;0.01</formula>
    </cfRule>
    <cfRule type="expression" dxfId="271" priority="363">
      <formula>G7&lt;0.1</formula>
    </cfRule>
    <cfRule type="expression" dxfId="270" priority="364">
      <formula>G7&lt;1</formula>
    </cfRule>
    <cfRule type="expression" dxfId="269" priority="365">
      <formula>G7&lt;10</formula>
    </cfRule>
    <cfRule type="expression" dxfId="268" priority="366">
      <formula>G7&gt;10</formula>
    </cfRule>
  </conditionalFormatting>
  <conditionalFormatting sqref="M58:M60">
    <cfRule type="expression" dxfId="267" priority="277">
      <formula>M58=0</formula>
    </cfRule>
    <cfRule type="expression" dxfId="266" priority="278">
      <formula>M58&lt;0.01</formula>
    </cfRule>
    <cfRule type="expression" dxfId="265" priority="279">
      <formula>M58&lt;0.1</formula>
    </cfRule>
    <cfRule type="expression" dxfId="264" priority="280">
      <formula>M58&lt;1</formula>
    </cfRule>
    <cfRule type="expression" dxfId="263" priority="281">
      <formula>M58&lt;10</formula>
    </cfRule>
    <cfRule type="expression" dxfId="262" priority="282">
      <formula>M58&gt;10</formula>
    </cfRule>
  </conditionalFormatting>
  <conditionalFormatting sqref="H40:H42">
    <cfRule type="expression" dxfId="261" priority="307">
      <formula>H40=0</formula>
    </cfRule>
    <cfRule type="expression" dxfId="260" priority="308">
      <formula>H40&lt;0.01</formula>
    </cfRule>
    <cfRule type="expression" dxfId="259" priority="309">
      <formula>H40&lt;0.1</formula>
    </cfRule>
    <cfRule type="expression" dxfId="258" priority="310">
      <formula>H40&lt;1</formula>
    </cfRule>
    <cfRule type="expression" dxfId="257" priority="311">
      <formula>H40&lt;10</formula>
    </cfRule>
    <cfRule type="expression" dxfId="256" priority="312">
      <formula>H40&gt;10</formula>
    </cfRule>
  </conditionalFormatting>
  <conditionalFormatting sqref="H49:H51">
    <cfRule type="expression" dxfId="255" priority="289">
      <formula>H49=0</formula>
    </cfRule>
    <cfRule type="expression" dxfId="254" priority="290">
      <formula>H49&lt;0.01</formula>
    </cfRule>
    <cfRule type="expression" dxfId="253" priority="291">
      <formula>H49&lt;0.1</formula>
    </cfRule>
    <cfRule type="expression" dxfId="252" priority="292">
      <formula>H49&lt;1</formula>
    </cfRule>
    <cfRule type="expression" dxfId="251" priority="293">
      <formula>H49&lt;10</formula>
    </cfRule>
    <cfRule type="expression" dxfId="250" priority="294">
      <formula>H49&gt;10</formula>
    </cfRule>
  </conditionalFormatting>
  <conditionalFormatting sqref="C17:C19">
    <cfRule type="expression" dxfId="249" priority="337">
      <formula>C17=0</formula>
    </cfRule>
    <cfRule type="expression" dxfId="248" priority="338">
      <formula>C17&lt;0.01</formula>
    </cfRule>
    <cfRule type="expression" dxfId="247" priority="339">
      <formula>C17&lt;0.1</formula>
    </cfRule>
    <cfRule type="expression" dxfId="246" priority="340">
      <formula>C17&lt;1</formula>
    </cfRule>
    <cfRule type="expression" dxfId="245" priority="341">
      <formula>C17&lt;10</formula>
    </cfRule>
    <cfRule type="expression" dxfId="244" priority="342">
      <formula>C17&gt;10</formula>
    </cfRule>
  </conditionalFormatting>
  <conditionalFormatting sqref="M49:M51">
    <cfRule type="expression" dxfId="243" priority="295">
      <formula>M49=0</formula>
    </cfRule>
    <cfRule type="expression" dxfId="242" priority="296">
      <formula>M49&lt;0.01</formula>
    </cfRule>
    <cfRule type="expression" dxfId="241" priority="297">
      <formula>M49&lt;0.1</formula>
    </cfRule>
    <cfRule type="expression" dxfId="240" priority="298">
      <formula>M49&lt;1</formula>
    </cfRule>
    <cfRule type="expression" dxfId="239" priority="299">
      <formula>M49&lt;10</formula>
    </cfRule>
    <cfRule type="expression" dxfId="238" priority="300">
      <formula>M49&gt;10</formula>
    </cfRule>
  </conditionalFormatting>
  <conditionalFormatting sqref="C26:C28">
    <cfRule type="expression" dxfId="237" priority="319">
      <formula>C26=0</formula>
    </cfRule>
    <cfRule type="expression" dxfId="236" priority="320">
      <formula>C26&lt;0.01</formula>
    </cfRule>
    <cfRule type="expression" dxfId="235" priority="321">
      <formula>C26&lt;0.1</formula>
    </cfRule>
    <cfRule type="expression" dxfId="234" priority="322">
      <formula>C26&lt;1</formula>
    </cfRule>
    <cfRule type="expression" dxfId="233" priority="323">
      <formula>C26&lt;10</formula>
    </cfRule>
    <cfRule type="expression" dxfId="232" priority="324">
      <formula>C26&gt;10</formula>
    </cfRule>
  </conditionalFormatting>
  <conditionalFormatting sqref="C40:C42">
    <cfRule type="expression" dxfId="231" priority="313">
      <formula>C40=0</formula>
    </cfRule>
    <cfRule type="expression" dxfId="230" priority="314">
      <formula>C40&lt;0.01</formula>
    </cfRule>
    <cfRule type="expression" dxfId="229" priority="315">
      <formula>C40&lt;0.1</formula>
    </cfRule>
    <cfRule type="expression" dxfId="228" priority="316">
      <formula>C40&lt;1</formula>
    </cfRule>
    <cfRule type="expression" dxfId="227" priority="317">
      <formula>C40&lt;10</formula>
    </cfRule>
    <cfRule type="expression" dxfId="226" priority="318">
      <formula>C40&gt;10</formula>
    </cfRule>
  </conditionalFormatting>
  <conditionalFormatting sqref="C72:C74">
    <cfRule type="expression" dxfId="225" priority="259">
      <formula>C72=0</formula>
    </cfRule>
    <cfRule type="expression" dxfId="224" priority="260">
      <formula>C72&lt;0.01</formula>
    </cfRule>
    <cfRule type="expression" dxfId="223" priority="261">
      <formula>C72&lt;0.1</formula>
    </cfRule>
    <cfRule type="expression" dxfId="222" priority="262">
      <formula>C72&lt;1</formula>
    </cfRule>
    <cfRule type="expression" dxfId="221" priority="263">
      <formula>C72&lt;10</formula>
    </cfRule>
    <cfRule type="expression" dxfId="220" priority="264">
      <formula>C72&gt;10</formula>
    </cfRule>
  </conditionalFormatting>
  <conditionalFormatting sqref="M40:M42">
    <cfRule type="expression" dxfId="219" priority="301">
      <formula>M40=0</formula>
    </cfRule>
    <cfRule type="expression" dxfId="218" priority="302">
      <formula>M40&lt;0.01</formula>
    </cfRule>
    <cfRule type="expression" dxfId="217" priority="303">
      <formula>M40&lt;0.1</formula>
    </cfRule>
    <cfRule type="expression" dxfId="216" priority="304">
      <formula>M40&lt;1</formula>
    </cfRule>
    <cfRule type="expression" dxfId="215" priority="305">
      <formula>M40&lt;10</formula>
    </cfRule>
    <cfRule type="expression" dxfId="214" priority="306">
      <formula>M40&gt;10</formula>
    </cfRule>
  </conditionalFormatting>
  <conditionalFormatting sqref="C49:C51">
    <cfRule type="expression" dxfId="213" priority="283">
      <formula>C49=0</formula>
    </cfRule>
    <cfRule type="expression" dxfId="212" priority="284">
      <formula>C49&lt;0.01</formula>
    </cfRule>
    <cfRule type="expression" dxfId="211" priority="285">
      <formula>C49&lt;0.1</formula>
    </cfRule>
    <cfRule type="expression" dxfId="210" priority="286">
      <formula>C49&lt;1</formula>
    </cfRule>
    <cfRule type="expression" dxfId="209" priority="287">
      <formula>C49&lt;10</formula>
    </cfRule>
    <cfRule type="expression" dxfId="208" priority="288">
      <formula>C49&gt;10</formula>
    </cfRule>
  </conditionalFormatting>
  <conditionalFormatting sqref="C81:C83">
    <cfRule type="expression" dxfId="207" priority="229">
      <formula>C81=0</formula>
    </cfRule>
    <cfRule type="expression" dxfId="206" priority="230">
      <formula>C81&lt;0.01</formula>
    </cfRule>
    <cfRule type="expression" dxfId="205" priority="231">
      <formula>C81&lt;0.1</formula>
    </cfRule>
    <cfRule type="expression" dxfId="204" priority="232">
      <formula>C81&lt;1</formula>
    </cfRule>
    <cfRule type="expression" dxfId="203" priority="233">
      <formula>C81&lt;10</formula>
    </cfRule>
    <cfRule type="expression" dxfId="202" priority="234">
      <formula>C81&gt;10</formula>
    </cfRule>
  </conditionalFormatting>
  <conditionalFormatting sqref="H58:H60">
    <cfRule type="expression" dxfId="201" priority="271">
      <formula>H58=0</formula>
    </cfRule>
    <cfRule type="expression" dxfId="200" priority="272">
      <formula>H58&lt;0.01</formula>
    </cfRule>
    <cfRule type="expression" dxfId="199" priority="273">
      <formula>H58&lt;0.1</formula>
    </cfRule>
    <cfRule type="expression" dxfId="198" priority="274">
      <formula>H58&lt;1</formula>
    </cfRule>
    <cfRule type="expression" dxfId="197" priority="275">
      <formula>H58&lt;10</formula>
    </cfRule>
    <cfRule type="expression" dxfId="196" priority="276">
      <formula>H58&gt;10</formula>
    </cfRule>
  </conditionalFormatting>
  <conditionalFormatting sqref="C58:C60">
    <cfRule type="expression" dxfId="195" priority="265">
      <formula>C58=0</formula>
    </cfRule>
    <cfRule type="expression" dxfId="194" priority="266">
      <formula>C58&lt;0.01</formula>
    </cfRule>
    <cfRule type="expression" dxfId="193" priority="267">
      <formula>C58&lt;0.1</formula>
    </cfRule>
    <cfRule type="expression" dxfId="192" priority="268">
      <formula>C58&lt;1</formula>
    </cfRule>
    <cfRule type="expression" dxfId="191" priority="269">
      <formula>C58&lt;10</formula>
    </cfRule>
    <cfRule type="expression" dxfId="190" priority="270">
      <formula>C58&gt;10</formula>
    </cfRule>
  </conditionalFormatting>
  <conditionalFormatting sqref="H72:H74">
    <cfRule type="expression" dxfId="189" priority="253">
      <formula>H72=0</formula>
    </cfRule>
    <cfRule type="expression" dxfId="188" priority="254">
      <formula>H72&lt;0.01</formula>
    </cfRule>
    <cfRule type="expression" dxfId="187" priority="255">
      <formula>H72&lt;0.1</formula>
    </cfRule>
    <cfRule type="expression" dxfId="186" priority="256">
      <formula>H72&lt;1</formula>
    </cfRule>
    <cfRule type="expression" dxfId="185" priority="257">
      <formula>H72&lt;10</formula>
    </cfRule>
    <cfRule type="expression" dxfId="184" priority="258">
      <formula>H72&gt;10</formula>
    </cfRule>
  </conditionalFormatting>
  <conditionalFormatting sqref="H81:H83">
    <cfRule type="expression" dxfId="183" priority="235">
      <formula>H81=0</formula>
    </cfRule>
    <cfRule type="expression" dxfId="182" priority="236">
      <formula>H81&lt;0.01</formula>
    </cfRule>
    <cfRule type="expression" dxfId="181" priority="237">
      <formula>H81&lt;0.1</formula>
    </cfRule>
    <cfRule type="expression" dxfId="180" priority="238">
      <formula>H81&lt;1</formula>
    </cfRule>
    <cfRule type="expression" dxfId="179" priority="239">
      <formula>H81&lt;10</formula>
    </cfRule>
    <cfRule type="expression" dxfId="178" priority="240">
      <formula>H81&gt;10</formula>
    </cfRule>
  </conditionalFormatting>
  <conditionalFormatting sqref="H90:H92">
    <cfRule type="expression" dxfId="177" priority="217">
      <formula>H90=0</formula>
    </cfRule>
    <cfRule type="expression" dxfId="176" priority="218">
      <formula>H90&lt;0.01</formula>
    </cfRule>
    <cfRule type="expression" dxfId="175" priority="219">
      <formula>H90&lt;0.1</formula>
    </cfRule>
    <cfRule type="expression" dxfId="174" priority="220">
      <formula>H90&lt;1</formula>
    </cfRule>
    <cfRule type="expression" dxfId="173" priority="221">
      <formula>H90&lt;10</formula>
    </cfRule>
    <cfRule type="expression" dxfId="172" priority="222">
      <formula>H90&gt;10</formula>
    </cfRule>
  </conditionalFormatting>
  <conditionalFormatting sqref="C90:C92">
    <cfRule type="expression" dxfId="171" priority="211">
      <formula>C90=0</formula>
    </cfRule>
    <cfRule type="expression" dxfId="170" priority="212">
      <formula>C90&lt;0.01</formula>
    </cfRule>
    <cfRule type="expression" dxfId="169" priority="213">
      <formula>C90&lt;0.1</formula>
    </cfRule>
    <cfRule type="expression" dxfId="168" priority="214">
      <formula>C90&lt;1</formula>
    </cfRule>
    <cfRule type="expression" dxfId="167" priority="215">
      <formula>C90&lt;10</formula>
    </cfRule>
    <cfRule type="expression" dxfId="166" priority="216">
      <formula>C90&gt;10</formula>
    </cfRule>
  </conditionalFormatting>
  <conditionalFormatting sqref="C104:C106">
    <cfRule type="expression" dxfId="165" priority="205">
      <formula>C104=0</formula>
    </cfRule>
    <cfRule type="expression" dxfId="164" priority="206">
      <formula>C104&lt;0.01</formula>
    </cfRule>
    <cfRule type="expression" dxfId="163" priority="207">
      <formula>C104&lt;0.1</formula>
    </cfRule>
    <cfRule type="expression" dxfId="162" priority="208">
      <formula>C104&lt;1</formula>
    </cfRule>
    <cfRule type="expression" dxfId="161" priority="209">
      <formula>C104&lt;10</formula>
    </cfRule>
    <cfRule type="expression" dxfId="160" priority="210">
      <formula>C104&gt;10</formula>
    </cfRule>
  </conditionalFormatting>
  <conditionalFormatting sqref="H104:H106">
    <cfRule type="expression" dxfId="159" priority="199">
      <formula>H104=0</formula>
    </cfRule>
    <cfRule type="expression" dxfId="158" priority="200">
      <formula>H104&lt;0.01</formula>
    </cfRule>
    <cfRule type="expression" dxfId="157" priority="201">
      <formula>H104&lt;0.1</formula>
    </cfRule>
    <cfRule type="expression" dxfId="156" priority="202">
      <formula>H104&lt;1</formula>
    </cfRule>
    <cfRule type="expression" dxfId="155" priority="203">
      <formula>H104&lt;10</formula>
    </cfRule>
    <cfRule type="expression" dxfId="154" priority="204">
      <formula>H104&gt;10</formula>
    </cfRule>
  </conditionalFormatting>
  <conditionalFormatting sqref="M104:M106">
    <cfRule type="expression" dxfId="153" priority="193">
      <formula>M104=0</formula>
    </cfRule>
    <cfRule type="expression" dxfId="152" priority="194">
      <formula>M104&lt;0.01</formula>
    </cfRule>
    <cfRule type="expression" dxfId="151" priority="195">
      <formula>M104&lt;0.1</formula>
    </cfRule>
    <cfRule type="expression" dxfId="150" priority="196">
      <formula>M104&lt;1</formula>
    </cfRule>
    <cfRule type="expression" dxfId="149" priority="197">
      <formula>M104&lt;10</formula>
    </cfRule>
    <cfRule type="expression" dxfId="148" priority="198">
      <formula>M104&gt;10</formula>
    </cfRule>
  </conditionalFormatting>
  <conditionalFormatting sqref="M113:M115">
    <cfRule type="expression" dxfId="147" priority="187">
      <formula>M113=0</formula>
    </cfRule>
    <cfRule type="expression" dxfId="146" priority="188">
      <formula>M113&lt;0.01</formula>
    </cfRule>
    <cfRule type="expression" dxfId="145" priority="189">
      <formula>M113&lt;0.1</formula>
    </cfRule>
    <cfRule type="expression" dxfId="144" priority="190">
      <formula>M113&lt;1</formula>
    </cfRule>
    <cfRule type="expression" dxfId="143" priority="191">
      <formula>M113&lt;10</formula>
    </cfRule>
    <cfRule type="expression" dxfId="142" priority="192">
      <formula>M113&gt;10</formula>
    </cfRule>
  </conditionalFormatting>
  <conditionalFormatting sqref="H113:H115">
    <cfRule type="expression" dxfId="141" priority="181">
      <formula>H113=0</formula>
    </cfRule>
    <cfRule type="expression" dxfId="140" priority="182">
      <formula>H113&lt;0.01</formula>
    </cfRule>
    <cfRule type="expression" dxfId="139" priority="183">
      <formula>H113&lt;0.1</formula>
    </cfRule>
    <cfRule type="expression" dxfId="138" priority="184">
      <formula>H113&lt;1</formula>
    </cfRule>
    <cfRule type="expression" dxfId="137" priority="185">
      <formula>H113&lt;10</formula>
    </cfRule>
    <cfRule type="expression" dxfId="136" priority="186">
      <formula>H113&gt;10</formula>
    </cfRule>
  </conditionalFormatting>
  <conditionalFormatting sqref="C113:C115">
    <cfRule type="expression" dxfId="135" priority="175">
      <formula>C113=0</formula>
    </cfRule>
    <cfRule type="expression" dxfId="134" priority="176">
      <formula>C113&lt;0.01</formula>
    </cfRule>
    <cfRule type="expression" dxfId="133" priority="177">
      <formula>C113&lt;0.1</formula>
    </cfRule>
    <cfRule type="expression" dxfId="132" priority="178">
      <formula>C113&lt;1</formula>
    </cfRule>
    <cfRule type="expression" dxfId="131" priority="179">
      <formula>C113&lt;10</formula>
    </cfRule>
    <cfRule type="expression" dxfId="130" priority="180">
      <formula>C113&gt;10</formula>
    </cfRule>
  </conditionalFormatting>
  <conditionalFormatting sqref="M122:M124">
    <cfRule type="expression" dxfId="129" priority="169">
      <formula>M122=0</formula>
    </cfRule>
    <cfRule type="expression" dxfId="128" priority="170">
      <formula>M122&lt;0.01</formula>
    </cfRule>
    <cfRule type="expression" dxfId="127" priority="171">
      <formula>M122&lt;0.1</formula>
    </cfRule>
    <cfRule type="expression" dxfId="126" priority="172">
      <formula>M122&lt;1</formula>
    </cfRule>
    <cfRule type="expression" dxfId="125" priority="173">
      <formula>M122&lt;10</formula>
    </cfRule>
    <cfRule type="expression" dxfId="124" priority="174">
      <formula>M122&gt;10</formula>
    </cfRule>
  </conditionalFormatting>
  <conditionalFormatting sqref="H122:H124">
    <cfRule type="expression" dxfId="123" priority="163">
      <formula>H122=0</formula>
    </cfRule>
    <cfRule type="expression" dxfId="122" priority="164">
      <formula>H122&lt;0.01</formula>
    </cfRule>
    <cfRule type="expression" dxfId="121" priority="165">
      <formula>H122&lt;0.1</formula>
    </cfRule>
    <cfRule type="expression" dxfId="120" priority="166">
      <formula>H122&lt;1</formula>
    </cfRule>
    <cfRule type="expression" dxfId="119" priority="167">
      <formula>H122&lt;10</formula>
    </cfRule>
    <cfRule type="expression" dxfId="118" priority="168">
      <formula>H122&gt;10</formula>
    </cfRule>
  </conditionalFormatting>
  <conditionalFormatting sqref="C122:C124">
    <cfRule type="expression" dxfId="117" priority="157">
      <formula>C122=0</formula>
    </cfRule>
    <cfRule type="expression" dxfId="116" priority="158">
      <formula>C122&lt;0.01</formula>
    </cfRule>
    <cfRule type="expression" dxfId="115" priority="159">
      <formula>C122&lt;0.1</formula>
    </cfRule>
    <cfRule type="expression" dxfId="114" priority="160">
      <formula>C122&lt;1</formula>
    </cfRule>
    <cfRule type="expression" dxfId="113" priority="161">
      <formula>C122&lt;10</formula>
    </cfRule>
    <cfRule type="expression" dxfId="112" priority="162">
      <formula>C122&gt;10</formula>
    </cfRule>
  </conditionalFormatting>
  <conditionalFormatting sqref="C136:C138">
    <cfRule type="expression" dxfId="111" priority="151">
      <formula>C136=0</formula>
    </cfRule>
    <cfRule type="expression" dxfId="110" priority="152">
      <formula>C136&lt;0.01</formula>
    </cfRule>
    <cfRule type="expression" dxfId="109" priority="153">
      <formula>C136&lt;0.1</formula>
    </cfRule>
    <cfRule type="expression" dxfId="108" priority="154">
      <formula>C136&lt;1</formula>
    </cfRule>
    <cfRule type="expression" dxfId="107" priority="155">
      <formula>C136&lt;10</formula>
    </cfRule>
    <cfRule type="expression" dxfId="106" priority="156">
      <formula>C136&gt;10</formula>
    </cfRule>
  </conditionalFormatting>
  <conditionalFormatting sqref="H136:H138">
    <cfRule type="expression" dxfId="105" priority="145">
      <formula>H136=0</formula>
    </cfRule>
    <cfRule type="expression" dxfId="104" priority="146">
      <formula>H136&lt;0.01</formula>
    </cfRule>
    <cfRule type="expression" dxfId="103" priority="147">
      <formula>H136&lt;0.1</formula>
    </cfRule>
    <cfRule type="expression" dxfId="102" priority="148">
      <formula>H136&lt;1</formula>
    </cfRule>
    <cfRule type="expression" dxfId="101" priority="149">
      <formula>H136&lt;10</formula>
    </cfRule>
    <cfRule type="expression" dxfId="100" priority="150">
      <formula>H136&gt;10</formula>
    </cfRule>
  </conditionalFormatting>
  <conditionalFormatting sqref="M136:M138">
    <cfRule type="expression" dxfId="99" priority="139">
      <formula>M136=0</formula>
    </cfRule>
    <cfRule type="expression" dxfId="98" priority="140">
      <formula>M136&lt;0.01</formula>
    </cfRule>
    <cfRule type="expression" dxfId="97" priority="141">
      <formula>M136&lt;0.1</formula>
    </cfRule>
    <cfRule type="expression" dxfId="96" priority="142">
      <formula>M136&lt;1</formula>
    </cfRule>
    <cfRule type="expression" dxfId="95" priority="143">
      <formula>M136&lt;10</formula>
    </cfRule>
    <cfRule type="expression" dxfId="94" priority="144">
      <formula>M136&gt;10</formula>
    </cfRule>
  </conditionalFormatting>
  <conditionalFormatting sqref="M145:M147">
    <cfRule type="expression" dxfId="93" priority="133">
      <formula>M145=0</formula>
    </cfRule>
    <cfRule type="expression" dxfId="92" priority="134">
      <formula>M145&lt;0.01</formula>
    </cfRule>
    <cfRule type="expression" dxfId="91" priority="135">
      <formula>M145&lt;0.1</formula>
    </cfRule>
    <cfRule type="expression" dxfId="90" priority="136">
      <formula>M145&lt;1</formula>
    </cfRule>
    <cfRule type="expression" dxfId="89" priority="137">
      <formula>M145&lt;10</formula>
    </cfRule>
    <cfRule type="expression" dxfId="88" priority="138">
      <formula>M145&gt;10</formula>
    </cfRule>
  </conditionalFormatting>
  <conditionalFormatting sqref="H145:H147">
    <cfRule type="expression" dxfId="87" priority="127">
      <formula>H145=0</formula>
    </cfRule>
    <cfRule type="expression" dxfId="86" priority="128">
      <formula>H145&lt;0.01</formula>
    </cfRule>
    <cfRule type="expression" dxfId="85" priority="129">
      <formula>H145&lt;0.1</formula>
    </cfRule>
    <cfRule type="expression" dxfId="84" priority="130">
      <formula>H145&lt;1</formula>
    </cfRule>
    <cfRule type="expression" dxfId="83" priority="131">
      <formula>H145&lt;10</formula>
    </cfRule>
    <cfRule type="expression" dxfId="82" priority="132">
      <formula>H145&gt;10</formula>
    </cfRule>
  </conditionalFormatting>
  <conditionalFormatting sqref="C145:C147">
    <cfRule type="expression" dxfId="81" priority="121">
      <formula>C145=0</formula>
    </cfRule>
    <cfRule type="expression" dxfId="80" priority="122">
      <formula>C145&lt;0.01</formula>
    </cfRule>
    <cfRule type="expression" dxfId="79" priority="123">
      <formula>C145&lt;0.1</formula>
    </cfRule>
    <cfRule type="expression" dxfId="78" priority="124">
      <formula>C145&lt;1</formula>
    </cfRule>
    <cfRule type="expression" dxfId="77" priority="125">
      <formula>C145&lt;10</formula>
    </cfRule>
    <cfRule type="expression" dxfId="76" priority="126">
      <formula>C145&gt;10</formula>
    </cfRule>
  </conditionalFormatting>
  <conditionalFormatting sqref="M154:M156">
    <cfRule type="expression" dxfId="75" priority="115">
      <formula>M154=0</formula>
    </cfRule>
    <cfRule type="expression" dxfId="74" priority="116">
      <formula>M154&lt;0.01</formula>
    </cfRule>
    <cfRule type="expression" dxfId="73" priority="117">
      <formula>M154&lt;0.1</formula>
    </cfRule>
    <cfRule type="expression" dxfId="72" priority="118">
      <formula>M154&lt;1</formula>
    </cfRule>
    <cfRule type="expression" dxfId="71" priority="119">
      <formula>M154&lt;10</formula>
    </cfRule>
    <cfRule type="expression" dxfId="70" priority="120">
      <formula>M154&gt;10</formula>
    </cfRule>
  </conditionalFormatting>
  <conditionalFormatting sqref="H154:H156">
    <cfRule type="expression" dxfId="69" priority="109">
      <formula>H154=0</formula>
    </cfRule>
    <cfRule type="expression" dxfId="68" priority="110">
      <formula>H154&lt;0.01</formula>
    </cfRule>
    <cfRule type="expression" dxfId="67" priority="111">
      <formula>H154&lt;0.1</formula>
    </cfRule>
    <cfRule type="expression" dxfId="66" priority="112">
      <formula>H154&lt;1</formula>
    </cfRule>
    <cfRule type="expression" dxfId="65" priority="113">
      <formula>H154&lt;10</formula>
    </cfRule>
    <cfRule type="expression" dxfId="64" priority="114">
      <formula>H154&gt;10</formula>
    </cfRule>
  </conditionalFormatting>
  <conditionalFormatting sqref="C154:C156">
    <cfRule type="expression" dxfId="63" priority="103">
      <formula>C154=0</formula>
    </cfRule>
    <cfRule type="expression" dxfId="62" priority="104">
      <formula>C154&lt;0.01</formula>
    </cfRule>
    <cfRule type="expression" dxfId="61" priority="105">
      <formula>C154&lt;0.1</formula>
    </cfRule>
    <cfRule type="expression" dxfId="60" priority="106">
      <formula>C154&lt;1</formula>
    </cfRule>
    <cfRule type="expression" dxfId="59" priority="107">
      <formula>C154&lt;10</formula>
    </cfRule>
    <cfRule type="expression" dxfId="58" priority="108">
      <formula>C154&gt;10</formula>
    </cfRule>
  </conditionalFormatting>
  <conditionalFormatting sqref="G25">
    <cfRule type="expression" dxfId="57" priority="25">
      <formula>G25=0</formula>
    </cfRule>
    <cfRule type="expression" dxfId="56" priority="26">
      <formula>G25&lt;0.01</formula>
    </cfRule>
    <cfRule type="expression" dxfId="55" priority="27">
      <formula>G25&lt;0.1</formula>
    </cfRule>
    <cfRule type="expression" dxfId="54" priority="28">
      <formula>G25&lt;1</formula>
    </cfRule>
    <cfRule type="expression" dxfId="53" priority="29">
      <formula>G25&lt;10</formula>
    </cfRule>
    <cfRule type="expression" dxfId="52" priority="30">
      <formula>G25&gt;10</formula>
    </cfRule>
  </conditionalFormatting>
  <conditionalFormatting sqref="G16">
    <cfRule type="expression" dxfId="51" priority="31">
      <formula>G16=0</formula>
    </cfRule>
    <cfRule type="expression" dxfId="50" priority="32">
      <formula>G16&lt;0.01</formula>
    </cfRule>
    <cfRule type="expression" dxfId="49" priority="33">
      <formula>G16&lt;0.1</formula>
    </cfRule>
    <cfRule type="expression" dxfId="48" priority="34">
      <formula>G16&lt;1</formula>
    </cfRule>
    <cfRule type="expression" dxfId="47" priority="35">
      <formula>G16&lt;10</formula>
    </cfRule>
    <cfRule type="expression" dxfId="46" priority="36">
      <formula>G16&gt;10</formula>
    </cfRule>
  </conditionalFormatting>
  <conditionalFormatting sqref="L25">
    <cfRule type="expression" dxfId="45" priority="19">
      <formula>L25=0</formula>
    </cfRule>
    <cfRule type="expression" dxfId="44" priority="20">
      <formula>L25&lt;0.01</formula>
    </cfRule>
    <cfRule type="expression" dxfId="43" priority="21">
      <formula>L25&lt;0.1</formula>
    </cfRule>
    <cfRule type="expression" dxfId="42" priority="22">
      <formula>L25&lt;1</formula>
    </cfRule>
    <cfRule type="expression" dxfId="41" priority="23">
      <formula>L25&lt;10</formula>
    </cfRule>
    <cfRule type="expression" dxfId="40" priority="24">
      <formula>L25&gt;10</formula>
    </cfRule>
  </conditionalFormatting>
  <conditionalFormatting sqref="L89">
    <cfRule type="expression" dxfId="39" priority="1">
      <formula>L89=0</formula>
    </cfRule>
    <cfRule type="expression" dxfId="38" priority="2">
      <formula>L89&lt;0.01</formula>
    </cfRule>
    <cfRule type="expression" dxfId="37" priority="3">
      <formula>L89&lt;0.1</formula>
    </cfRule>
    <cfRule type="expression" dxfId="36" priority="4">
      <formula>L89&lt;1</formula>
    </cfRule>
    <cfRule type="expression" dxfId="35" priority="5">
      <formula>L89&lt;10</formula>
    </cfRule>
    <cfRule type="expression" dxfId="34" priority="6">
      <formula>L89&gt;10</formula>
    </cfRule>
  </conditionalFormatting>
  <conditionalFormatting sqref="L7">
    <cfRule type="expression" dxfId="33" priority="43">
      <formula>L7=0</formula>
    </cfRule>
    <cfRule type="expression" dxfId="32" priority="44">
      <formula>L7&lt;0.01</formula>
    </cfRule>
    <cfRule type="expression" dxfId="31" priority="45">
      <formula>L7&lt;0.1</formula>
    </cfRule>
    <cfRule type="expression" dxfId="30" priority="46">
      <formula>L7&lt;1</formula>
    </cfRule>
    <cfRule type="expression" dxfId="29" priority="47">
      <formula>L7&lt;10</formula>
    </cfRule>
    <cfRule type="expression" dxfId="28" priority="48">
      <formula>L7&gt;10</formula>
    </cfRule>
  </conditionalFormatting>
  <conditionalFormatting sqref="L16">
    <cfRule type="expression" dxfId="27" priority="37">
      <formula>L16=0</formula>
    </cfRule>
    <cfRule type="expression" dxfId="26" priority="38">
      <formula>L16&lt;0.01</formula>
    </cfRule>
    <cfRule type="expression" dxfId="25" priority="39">
      <formula>L16&lt;0.1</formula>
    </cfRule>
    <cfRule type="expression" dxfId="24" priority="40">
      <formula>L16&lt;1</formula>
    </cfRule>
    <cfRule type="expression" dxfId="23" priority="41">
      <formula>L16&lt;10</formula>
    </cfRule>
    <cfRule type="expression" dxfId="22" priority="42">
      <formula>L16&gt;10</formula>
    </cfRule>
  </conditionalFormatting>
  <conditionalFormatting sqref="L71">
    <cfRule type="expression" dxfId="21" priority="13">
      <formula>L71=0</formula>
    </cfRule>
    <cfRule type="expression" dxfId="20" priority="14">
      <formula>L71&lt;0.01</formula>
    </cfRule>
    <cfRule type="expression" dxfId="19" priority="15">
      <formula>L71&lt;0.1</formula>
    </cfRule>
    <cfRule type="expression" dxfId="18" priority="16">
      <formula>L71&lt;1</formula>
    </cfRule>
    <cfRule type="expression" dxfId="17" priority="17">
      <formula>L71&lt;10</formula>
    </cfRule>
    <cfRule type="expression" dxfId="16" priority="18">
      <formula>L71&gt;10</formula>
    </cfRule>
  </conditionalFormatting>
  <conditionalFormatting sqref="L80">
    <cfRule type="expression" dxfId="15" priority="7">
      <formula>L80=0</formula>
    </cfRule>
    <cfRule type="expression" dxfId="14" priority="8">
      <formula>L80&lt;0.01</formula>
    </cfRule>
    <cfRule type="expression" dxfId="13" priority="9">
      <formula>L80&lt;0.1</formula>
    </cfRule>
    <cfRule type="expression" dxfId="12" priority="10">
      <formula>L80&lt;1</formula>
    </cfRule>
    <cfRule type="expression" dxfId="11" priority="11">
      <formula>L80&lt;10</formula>
    </cfRule>
    <cfRule type="expression" dxfId="10" priority="12">
      <formula>L80&gt;10</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sheetPr>
  <dimension ref="A1:N334"/>
  <sheetViews>
    <sheetView zoomScaleNormal="100" zoomScaleSheetLayoutView="100" workbookViewId="0">
      <pane ySplit="1" topLeftCell="A2" activePane="bottomLeft" state="frozen"/>
      <selection pane="bottomLeft"/>
    </sheetView>
  </sheetViews>
  <sheetFormatPr baseColWidth="10" defaultRowHeight="15" x14ac:dyDescent="0.25"/>
  <cols>
    <col min="1" max="1" width="49.7109375" customWidth="1"/>
    <col min="2" max="2" width="11" customWidth="1"/>
    <col min="3" max="3" width="13.85546875" customWidth="1"/>
    <col min="4" max="4" width="10.5703125" bestFit="1" customWidth="1"/>
    <col min="5" max="5" width="25.5703125" customWidth="1"/>
    <col min="6" max="6" width="32.140625" style="51" customWidth="1"/>
    <col min="7" max="7" width="11" customWidth="1"/>
    <col min="8" max="10" width="12.5703125" bestFit="1" customWidth="1"/>
  </cols>
  <sheetData>
    <row r="1" spans="1:14" ht="60" x14ac:dyDescent="0.25">
      <c r="A1" s="282">
        <v>2016</v>
      </c>
      <c r="B1" s="283" t="s">
        <v>305</v>
      </c>
      <c r="C1" s="283" t="s">
        <v>42</v>
      </c>
      <c r="D1" s="283" t="s">
        <v>202</v>
      </c>
      <c r="E1" s="283" t="s">
        <v>204</v>
      </c>
      <c r="F1" s="283" t="s">
        <v>20</v>
      </c>
      <c r="G1" s="17"/>
      <c r="H1" s="17"/>
      <c r="I1" s="17"/>
      <c r="J1" s="17"/>
      <c r="K1" s="17"/>
      <c r="L1" s="17"/>
      <c r="M1" s="17"/>
      <c r="N1" s="17"/>
    </row>
    <row r="2" spans="1:14" x14ac:dyDescent="0.25">
      <c r="A2" s="53" t="s">
        <v>17</v>
      </c>
      <c r="B2" s="53"/>
      <c r="C2" s="53"/>
      <c r="D2" s="53"/>
      <c r="E2" s="53"/>
      <c r="F2" s="53"/>
      <c r="G2" s="10"/>
      <c r="H2" s="10"/>
      <c r="I2" s="10"/>
      <c r="J2" s="10"/>
      <c r="K2" s="10"/>
      <c r="L2" s="10"/>
      <c r="M2" s="10"/>
      <c r="N2" s="10"/>
    </row>
    <row r="3" spans="1:14" x14ac:dyDescent="0.25">
      <c r="A3" s="25"/>
      <c r="B3" s="25"/>
      <c r="C3" s="25"/>
      <c r="D3" s="25"/>
      <c r="E3" s="25"/>
      <c r="F3" s="10"/>
      <c r="G3" s="10"/>
      <c r="H3" s="10"/>
      <c r="I3" s="10"/>
      <c r="J3" s="10"/>
      <c r="K3" s="10"/>
      <c r="L3" s="10"/>
      <c r="M3" s="10"/>
      <c r="N3" s="10"/>
    </row>
    <row r="4" spans="1:14" x14ac:dyDescent="0.25">
      <c r="A4" s="14" t="s">
        <v>69</v>
      </c>
      <c r="B4" s="126">
        <v>200000</v>
      </c>
      <c r="C4" s="126">
        <v>250000</v>
      </c>
      <c r="D4" s="126">
        <v>30000</v>
      </c>
      <c r="E4" s="13" t="s">
        <v>133</v>
      </c>
      <c r="F4" s="256" t="s">
        <v>446</v>
      </c>
    </row>
    <row r="5" spans="1:14" s="51" customFormat="1" x14ac:dyDescent="0.25">
      <c r="A5" s="14"/>
      <c r="B5" s="145"/>
      <c r="C5" s="145"/>
      <c r="D5" s="145"/>
      <c r="E5" s="13"/>
      <c r="F5" s="170"/>
    </row>
    <row r="6" spans="1:14" s="51" customFormat="1" x14ac:dyDescent="0.25">
      <c r="A6" s="14" t="s">
        <v>179</v>
      </c>
      <c r="B6" s="145"/>
      <c r="C6" s="145"/>
      <c r="D6" s="145"/>
      <c r="E6" s="13"/>
      <c r="F6" s="170"/>
    </row>
    <row r="7" spans="1:14" s="51" customFormat="1" x14ac:dyDescent="0.25">
      <c r="A7" s="15" t="s">
        <v>31</v>
      </c>
      <c r="B7" s="128">
        <f>Size_dist_LQ_CR*Prod_CR/NB_LQ_CR</f>
        <v>1300</v>
      </c>
      <c r="C7" s="128">
        <f>Size_dist_LQ_SG*Prod_SG/NB_LQ_SG</f>
        <v>754.16666666666663</v>
      </c>
      <c r="D7" s="128">
        <f>Std_Prod_LQ_CR</f>
        <v>1300</v>
      </c>
      <c r="E7" s="342" t="s">
        <v>180</v>
      </c>
      <c r="F7" s="170"/>
    </row>
    <row r="8" spans="1:14" s="51" customFormat="1" x14ac:dyDescent="0.25">
      <c r="A8" s="15" t="s">
        <v>32</v>
      </c>
      <c r="B8" s="128">
        <f>Size_dist_MQ_CR*Prod_CR/NB_MQ_CR</f>
        <v>246.83544303797467</v>
      </c>
      <c r="C8" s="128">
        <f>Size_dist_MQ_SG*Prod_SG/NB_MQ_SG</f>
        <v>160.84123222748815</v>
      </c>
      <c r="D8" s="128">
        <f>Size_dist_MQ_RA*Prod_RA/NB_MQ_RA</f>
        <v>212.03007518796991</v>
      </c>
      <c r="E8" s="342"/>
      <c r="F8" s="170"/>
    </row>
    <row r="9" spans="1:14" s="51" customFormat="1" x14ac:dyDescent="0.25">
      <c r="A9" s="15" t="s">
        <v>33</v>
      </c>
      <c r="B9" s="128">
        <f>Size_dist_SQ_CR*Prod_CR/NB_SQ_CR</f>
        <v>55.450236966824633</v>
      </c>
      <c r="C9" s="128">
        <f>Size_dist_SQ_SG*Prod_SG/NB_SQ_SG</f>
        <v>74.587912087912088</v>
      </c>
      <c r="D9" s="128">
        <f>Size_dist_SQ_RA*Prod_RA/NB_SQ_RA</f>
        <v>42.406015037593988</v>
      </c>
      <c r="E9" s="342"/>
      <c r="F9" s="170"/>
    </row>
    <row r="10" spans="1:14" x14ac:dyDescent="0.25">
      <c r="A10" s="15"/>
      <c r="B10" s="13"/>
      <c r="C10" s="13"/>
      <c r="D10" s="13"/>
      <c r="F10" s="170"/>
    </row>
    <row r="11" spans="1:14" x14ac:dyDescent="0.25">
      <c r="A11" s="14" t="s">
        <v>14</v>
      </c>
      <c r="B11" s="13"/>
      <c r="C11" s="13"/>
      <c r="D11" s="13"/>
      <c r="F11" s="170"/>
    </row>
    <row r="12" spans="1:14" x14ac:dyDescent="0.25">
      <c r="A12" s="15" t="s">
        <v>274</v>
      </c>
      <c r="B12" s="268">
        <v>0.35</v>
      </c>
      <c r="C12" s="268">
        <v>0.15</v>
      </c>
      <c r="D12" s="268">
        <f>0</f>
        <v>0</v>
      </c>
      <c r="E12" s="342" t="s">
        <v>134</v>
      </c>
      <c r="F12" s="256" t="s">
        <v>446</v>
      </c>
    </row>
    <row r="13" spans="1:14" x14ac:dyDescent="0.25">
      <c r="A13" t="s">
        <v>275</v>
      </c>
      <c r="B13" s="268">
        <v>0.5</v>
      </c>
      <c r="C13" s="268">
        <v>0.5</v>
      </c>
      <c r="D13" s="268">
        <f>4.6/23</f>
        <v>0.19999999999999998</v>
      </c>
      <c r="E13" s="342"/>
      <c r="F13" s="256" t="s">
        <v>446</v>
      </c>
    </row>
    <row r="14" spans="1:14" x14ac:dyDescent="0.25">
      <c r="A14" t="s">
        <v>276</v>
      </c>
      <c r="B14" s="268">
        <v>0.15</v>
      </c>
      <c r="C14" s="268">
        <v>0.35</v>
      </c>
      <c r="D14" s="268">
        <f>18.4/23</f>
        <v>0.79999999999999993</v>
      </c>
      <c r="E14" s="342"/>
      <c r="F14" s="256" t="s">
        <v>446</v>
      </c>
    </row>
    <row r="15" spans="1:14" x14ac:dyDescent="0.25">
      <c r="A15" t="s">
        <v>13</v>
      </c>
      <c r="B15" s="23">
        <f>SUM(B12:B14)</f>
        <v>1</v>
      </c>
      <c r="C15" s="23">
        <f>SUM(C12:C14)</f>
        <v>1</v>
      </c>
      <c r="D15" s="23">
        <f>SUM(D12:D14)</f>
        <v>0.99999999999999989</v>
      </c>
      <c r="E15" s="16"/>
      <c r="F15" s="16"/>
      <c r="G15" s="16"/>
      <c r="H15" s="16"/>
    </row>
    <row r="16" spans="1:14" x14ac:dyDescent="0.25">
      <c r="B16" s="30"/>
      <c r="C16" s="30"/>
      <c r="D16" s="30"/>
      <c r="E16" s="16"/>
      <c r="F16" s="16"/>
      <c r="G16" s="16"/>
      <c r="H16" s="16"/>
    </row>
    <row r="17" spans="1:9" x14ac:dyDescent="0.25">
      <c r="A17" s="14" t="s">
        <v>63</v>
      </c>
      <c r="B17" s="30"/>
      <c r="C17" s="30"/>
      <c r="D17" s="30"/>
      <c r="E17" s="16"/>
      <c r="F17" s="16"/>
      <c r="G17" s="16"/>
      <c r="H17" s="16"/>
    </row>
    <row r="18" spans="1:9" x14ac:dyDescent="0.25">
      <c r="A18" s="15" t="s">
        <v>274</v>
      </c>
      <c r="B18" s="128">
        <f t="shared" ref="B18:B19" si="0">$B$21*B24</f>
        <v>53.846153846153847</v>
      </c>
      <c r="C18" s="128">
        <f t="shared" ref="C18:C19" si="1">$C$21*C24</f>
        <v>49.723756906077348</v>
      </c>
      <c r="D18" s="127">
        <f>Size_dist_LQ_RA*Prod_RA/500</f>
        <v>0</v>
      </c>
      <c r="E18" s="342" t="s">
        <v>135</v>
      </c>
      <c r="F18" s="170"/>
      <c r="G18" s="16"/>
      <c r="H18" s="16"/>
    </row>
    <row r="19" spans="1:9" x14ac:dyDescent="0.25">
      <c r="A19" s="51" t="s">
        <v>275</v>
      </c>
      <c r="B19" s="128">
        <f t="shared" si="0"/>
        <v>405.12820512820514</v>
      </c>
      <c r="C19" s="128">
        <f t="shared" si="1"/>
        <v>777.1639042357275</v>
      </c>
      <c r="D19" s="127">
        <f>Size_dist_MQ_RA*Prod_RA/250*2660/2256</f>
        <v>28.297872340425528</v>
      </c>
      <c r="E19" s="342"/>
      <c r="F19" s="170"/>
      <c r="G19" s="16"/>
      <c r="H19" s="16"/>
    </row>
    <row r="20" spans="1:9" x14ac:dyDescent="0.25">
      <c r="A20" s="51" t="s">
        <v>276</v>
      </c>
      <c r="B20" s="128">
        <f>$B$21*B26</f>
        <v>541.02564102564111</v>
      </c>
      <c r="C20" s="128">
        <f>$C$21*C26</f>
        <v>1173.1123388581952</v>
      </c>
      <c r="D20" s="127">
        <f>Size_dist_SQ_RA*Prod_RA/50*2660/2256</f>
        <v>565.95744680851055</v>
      </c>
      <c r="E20" s="342"/>
      <c r="G20" s="16"/>
      <c r="H20" s="16"/>
    </row>
    <row r="21" spans="1:9" x14ac:dyDescent="0.25">
      <c r="A21" t="s">
        <v>13</v>
      </c>
      <c r="B21" s="126">
        <v>1000</v>
      </c>
      <c r="C21" s="126">
        <v>2000</v>
      </c>
      <c r="D21" s="128">
        <f>SUM(D18:D20)</f>
        <v>594.25531914893611</v>
      </c>
      <c r="E21" s="16"/>
      <c r="F21" s="256" t="s">
        <v>446</v>
      </c>
      <c r="G21" s="16"/>
      <c r="H21" s="16"/>
    </row>
    <row r="22" spans="1:9" x14ac:dyDescent="0.25">
      <c r="B22" s="18"/>
      <c r="D22" s="11"/>
      <c r="E22" s="11"/>
      <c r="F22" s="171"/>
      <c r="G22" s="12"/>
      <c r="I22" s="51"/>
    </row>
    <row r="23" spans="1:9" x14ac:dyDescent="0.25">
      <c r="A23" s="14" t="s">
        <v>15</v>
      </c>
      <c r="B23" s="13"/>
      <c r="C23" s="13"/>
      <c r="D23" s="13"/>
      <c r="E23" s="11"/>
      <c r="F23" s="171"/>
      <c r="G23" s="12"/>
    </row>
    <row r="24" spans="1:9" x14ac:dyDescent="0.25">
      <c r="A24" s="15" t="s">
        <v>274</v>
      </c>
      <c r="B24" s="268">
        <v>5.3846153846153849E-2</v>
      </c>
      <c r="C24" s="268">
        <v>2.4861878453038673E-2</v>
      </c>
      <c r="D24" s="63">
        <f t="shared" ref="D24:D26" si="2">D18/D$21</f>
        <v>0</v>
      </c>
      <c r="E24" s="13"/>
      <c r="F24" s="170" t="s">
        <v>226</v>
      </c>
      <c r="G24" s="12"/>
    </row>
    <row r="25" spans="1:9" x14ac:dyDescent="0.25">
      <c r="A25" s="51" t="s">
        <v>275</v>
      </c>
      <c r="B25" s="268">
        <v>0.40512820512820513</v>
      </c>
      <c r="C25" s="268">
        <v>0.38858195211786373</v>
      </c>
      <c r="D25" s="63">
        <f t="shared" si="2"/>
        <v>4.7619047619047616E-2</v>
      </c>
      <c r="E25" s="13"/>
      <c r="F25" s="170" t="s">
        <v>226</v>
      </c>
    </row>
    <row r="26" spans="1:9" x14ac:dyDescent="0.25">
      <c r="A26" s="51" t="s">
        <v>276</v>
      </c>
      <c r="B26" s="268">
        <v>0.5410256410256411</v>
      </c>
      <c r="C26" s="268">
        <v>0.58655616942909761</v>
      </c>
      <c r="D26" s="63">
        <f t="shared" si="2"/>
        <v>0.95238095238095233</v>
      </c>
      <c r="E26" s="13"/>
      <c r="F26" s="170" t="s">
        <v>226</v>
      </c>
    </row>
    <row r="27" spans="1:9" x14ac:dyDescent="0.25">
      <c r="A27" t="s">
        <v>13</v>
      </c>
      <c r="B27" s="23">
        <f>SUM(B24:B26)</f>
        <v>1</v>
      </c>
      <c r="C27" s="23">
        <f>SUM(C24:C26)</f>
        <v>1</v>
      </c>
      <c r="D27" s="23">
        <f>SUM(D24:D26)</f>
        <v>1</v>
      </c>
      <c r="F27" s="170"/>
    </row>
    <row r="28" spans="1:9" x14ac:dyDescent="0.25">
      <c r="F28" s="170"/>
    </row>
    <row r="29" spans="1:9" x14ac:dyDescent="0.25">
      <c r="A29" s="53" t="s">
        <v>8</v>
      </c>
      <c r="B29" s="53"/>
      <c r="C29" s="53"/>
      <c r="D29" s="53"/>
      <c r="E29" s="53"/>
      <c r="F29" s="53"/>
    </row>
    <row r="30" spans="1:9" ht="15.75" thickBot="1" x14ac:dyDescent="0.3"/>
    <row r="31" spans="1:9" s="51" customFormat="1" ht="15.75" thickBot="1" x14ac:dyDescent="0.3">
      <c r="A31" s="210" t="s">
        <v>408</v>
      </c>
      <c r="B31" s="343" t="s">
        <v>412</v>
      </c>
      <c r="C31" s="344"/>
      <c r="D31" s="345"/>
    </row>
    <row r="32" spans="1:9" s="51" customFormat="1" x14ac:dyDescent="0.25"/>
    <row r="33" spans="1:8" x14ac:dyDescent="0.25">
      <c r="A33" t="s">
        <v>18</v>
      </c>
      <c r="B33" s="211">
        <v>13</v>
      </c>
      <c r="C33" s="217" t="s">
        <v>16</v>
      </c>
      <c r="D33" s="217" t="s">
        <v>16</v>
      </c>
      <c r="E33" s="31" t="s">
        <v>136</v>
      </c>
      <c r="F33" s="51" t="s">
        <v>228</v>
      </c>
    </row>
    <row r="34" spans="1:8" x14ac:dyDescent="0.25">
      <c r="A34" t="s">
        <v>19</v>
      </c>
      <c r="B34" s="211">
        <v>15</v>
      </c>
      <c r="C34" s="217" t="s">
        <v>16</v>
      </c>
      <c r="D34" s="217" t="s">
        <v>16</v>
      </c>
      <c r="E34" s="31" t="s">
        <v>137</v>
      </c>
      <c r="F34" s="51" t="s">
        <v>228</v>
      </c>
    </row>
    <row r="35" spans="1:8" x14ac:dyDescent="0.25">
      <c r="A35" t="s">
        <v>21</v>
      </c>
      <c r="B35" s="211">
        <v>2.5</v>
      </c>
      <c r="C35" s="217" t="s">
        <v>16</v>
      </c>
      <c r="D35" s="217" t="s">
        <v>16</v>
      </c>
      <c r="E35" s="31" t="s">
        <v>21</v>
      </c>
      <c r="F35" s="51" t="s">
        <v>228</v>
      </c>
    </row>
    <row r="36" spans="1:8" x14ac:dyDescent="0.25">
      <c r="B36" s="13"/>
      <c r="C36" s="13"/>
      <c r="D36" s="13"/>
      <c r="G36" s="224"/>
      <c r="H36" s="223"/>
    </row>
    <row r="37" spans="1:8" s="51" customFormat="1" x14ac:dyDescent="0.25">
      <c r="A37" s="51" t="s">
        <v>22</v>
      </c>
      <c r="B37" s="139">
        <f>IF(OR(B31=A331,B31=A332),Prod_CR*1000/Density,"-")</f>
        <v>80000000</v>
      </c>
      <c r="C37" s="217" t="s">
        <v>16</v>
      </c>
      <c r="D37" s="217" t="s">
        <v>16</v>
      </c>
    </row>
    <row r="38" spans="1:8" s="51" customFormat="1" x14ac:dyDescent="0.25">
      <c r="A38" s="51" t="s">
        <v>27</v>
      </c>
      <c r="B38" s="238">
        <f>IF(OR(B31=A331,B31=A332),Hole_height*Hole_surface,"-")</f>
        <v>195</v>
      </c>
      <c r="C38" s="217" t="s">
        <v>16</v>
      </c>
      <c r="D38" s="217" t="s">
        <v>16</v>
      </c>
    </row>
    <row r="39" spans="1:8" s="51" customFormat="1" x14ac:dyDescent="0.25">
      <c r="A39" s="50" t="s">
        <v>413</v>
      </c>
      <c r="B39" s="139">
        <f>IF(OR(B31=A331,B31=A332),B37/B38,"-")</f>
        <v>410256.41025641025</v>
      </c>
      <c r="C39" s="217" t="s">
        <v>16</v>
      </c>
      <c r="D39" s="217" t="s">
        <v>16</v>
      </c>
    </row>
    <row r="40" spans="1:8" s="51" customFormat="1" x14ac:dyDescent="0.25">
      <c r="A40" s="50"/>
      <c r="B40" s="215"/>
      <c r="C40" s="216"/>
      <c r="D40" s="216"/>
    </row>
    <row r="41" spans="1:8" s="51" customFormat="1" x14ac:dyDescent="0.25">
      <c r="A41" s="51" t="s">
        <v>23</v>
      </c>
      <c r="B41" s="218">
        <v>450000</v>
      </c>
      <c r="C41" s="217" t="s">
        <v>16</v>
      </c>
      <c r="D41" s="217" t="s">
        <v>16</v>
      </c>
    </row>
    <row r="42" spans="1:8" s="51" customFormat="1" x14ac:dyDescent="0.25">
      <c r="A42" s="51" t="s">
        <v>414</v>
      </c>
      <c r="B42" s="218">
        <v>150000</v>
      </c>
      <c r="C42" s="217" t="s">
        <v>16</v>
      </c>
      <c r="D42" s="217" t="s">
        <v>16</v>
      </c>
    </row>
    <row r="43" spans="1:8" s="51" customFormat="1" x14ac:dyDescent="0.25">
      <c r="B43" s="13"/>
      <c r="C43" s="13"/>
      <c r="D43" s="13"/>
    </row>
    <row r="44" spans="1:8" x14ac:dyDescent="0.25">
      <c r="A44" t="s">
        <v>125</v>
      </c>
      <c r="B44" s="211">
        <v>0.59</v>
      </c>
      <c r="C44" s="217" t="s">
        <v>16</v>
      </c>
      <c r="D44" s="217" t="s">
        <v>16</v>
      </c>
      <c r="E44" s="342" t="s">
        <v>138</v>
      </c>
      <c r="F44" s="51" t="s">
        <v>229</v>
      </c>
    </row>
    <row r="45" spans="1:8" x14ac:dyDescent="0.25">
      <c r="A45" t="s">
        <v>126</v>
      </c>
      <c r="B45" s="211">
        <v>0.31</v>
      </c>
      <c r="C45" s="217" t="s">
        <v>16</v>
      </c>
      <c r="D45" s="217" t="s">
        <v>16</v>
      </c>
      <c r="E45" s="342"/>
      <c r="F45" s="51" t="s">
        <v>229</v>
      </c>
    </row>
    <row r="46" spans="1:8" x14ac:dyDescent="0.25">
      <c r="A46" t="s">
        <v>127</v>
      </c>
      <c r="B46" s="211">
        <v>0.31</v>
      </c>
      <c r="C46" s="217" t="s">
        <v>16</v>
      </c>
      <c r="D46" s="217" t="s">
        <v>16</v>
      </c>
      <c r="E46" s="342"/>
      <c r="F46" s="51" t="s">
        <v>229</v>
      </c>
    </row>
    <row r="47" spans="1:8" x14ac:dyDescent="0.25">
      <c r="B47" s="13"/>
      <c r="C47" s="13"/>
      <c r="D47" s="13"/>
      <c r="E47" s="31"/>
    </row>
    <row r="48" spans="1:8" x14ac:dyDescent="0.25">
      <c r="A48" t="s">
        <v>128</v>
      </c>
      <c r="B48" s="212">
        <v>2.2000000000000001E-4</v>
      </c>
      <c r="C48" s="217" t="s">
        <v>16</v>
      </c>
      <c r="D48" s="217" t="s">
        <v>16</v>
      </c>
      <c r="E48" s="342" t="s">
        <v>139</v>
      </c>
      <c r="F48" s="51" t="s">
        <v>229</v>
      </c>
    </row>
    <row r="49" spans="1:10" x14ac:dyDescent="0.25">
      <c r="A49" t="s">
        <v>129</v>
      </c>
      <c r="B49" s="212">
        <f>0.52*B48</f>
        <v>1.144E-4</v>
      </c>
      <c r="C49" s="217" t="s">
        <v>16</v>
      </c>
      <c r="D49" s="217" t="s">
        <v>16</v>
      </c>
      <c r="E49" s="342"/>
      <c r="F49" s="51" t="s">
        <v>229</v>
      </c>
    </row>
    <row r="50" spans="1:10" x14ac:dyDescent="0.25">
      <c r="A50" t="s">
        <v>130</v>
      </c>
      <c r="B50" s="213">
        <f>0.03*B48</f>
        <v>6.6000000000000003E-6</v>
      </c>
      <c r="C50" s="217" t="s">
        <v>16</v>
      </c>
      <c r="D50" s="217" t="s">
        <v>16</v>
      </c>
      <c r="E50" s="342"/>
      <c r="F50" s="51" t="s">
        <v>229</v>
      </c>
    </row>
    <row r="52" spans="1:10" x14ac:dyDescent="0.25">
      <c r="A52" s="340" t="s">
        <v>9</v>
      </c>
      <c r="B52" s="340"/>
      <c r="C52" s="340"/>
      <c r="D52" s="340"/>
      <c r="E52" s="340"/>
      <c r="F52" s="340"/>
    </row>
    <row r="54" spans="1:10" x14ac:dyDescent="0.25">
      <c r="A54" t="s">
        <v>330</v>
      </c>
      <c r="B54" s="214">
        <v>2.7</v>
      </c>
      <c r="C54" s="214">
        <v>2.7</v>
      </c>
      <c r="D54" s="214">
        <v>2.7</v>
      </c>
      <c r="E54" s="342" t="s">
        <v>140</v>
      </c>
      <c r="F54" s="51" t="s">
        <v>232</v>
      </c>
    </row>
    <row r="55" spans="1:10" x14ac:dyDescent="0.25">
      <c r="A55" t="s">
        <v>331</v>
      </c>
      <c r="B55" s="214">
        <v>1.2</v>
      </c>
      <c r="C55" s="214">
        <v>1.2</v>
      </c>
      <c r="D55" s="214">
        <v>1.2</v>
      </c>
      <c r="E55" s="342"/>
      <c r="F55" s="51" t="s">
        <v>232</v>
      </c>
    </row>
    <row r="56" spans="1:10" x14ac:dyDescent="0.25">
      <c r="A56" t="s">
        <v>332</v>
      </c>
      <c r="B56" s="214">
        <v>0.6</v>
      </c>
      <c r="C56" s="214">
        <v>0.6</v>
      </c>
      <c r="D56" s="214">
        <v>0.6</v>
      </c>
      <c r="E56" s="342"/>
      <c r="F56" s="51" t="s">
        <v>247</v>
      </c>
    </row>
    <row r="57" spans="1:10" x14ac:dyDescent="0.25">
      <c r="B57" s="29"/>
      <c r="C57" s="29"/>
      <c r="D57" s="29"/>
    </row>
    <row r="58" spans="1:10" x14ac:dyDescent="0.25">
      <c r="A58" t="s">
        <v>333</v>
      </c>
      <c r="B58" s="211">
        <v>0.6</v>
      </c>
      <c r="C58" s="211">
        <v>0.6</v>
      </c>
      <c r="D58" s="211">
        <v>0.6</v>
      </c>
      <c r="E58" s="342" t="s">
        <v>141</v>
      </c>
      <c r="F58" s="51" t="s">
        <v>232</v>
      </c>
    </row>
    <row r="59" spans="1:10" x14ac:dyDescent="0.25">
      <c r="A59" t="s">
        <v>334</v>
      </c>
      <c r="B59" s="211">
        <v>0.27</v>
      </c>
      <c r="C59" s="211">
        <v>0.27</v>
      </c>
      <c r="D59" s="211">
        <v>0.27</v>
      </c>
      <c r="E59" s="342"/>
      <c r="F59" s="51" t="s">
        <v>232</v>
      </c>
    </row>
    <row r="60" spans="1:10" x14ac:dyDescent="0.25">
      <c r="A60" t="s">
        <v>335</v>
      </c>
      <c r="B60" s="211">
        <v>0.05</v>
      </c>
      <c r="C60" s="211">
        <v>0.05</v>
      </c>
      <c r="D60" s="211">
        <v>0.05</v>
      </c>
      <c r="E60" s="342"/>
      <c r="F60" s="51" t="s">
        <v>247</v>
      </c>
    </row>
    <row r="61" spans="1:10" x14ac:dyDescent="0.25">
      <c r="B61" s="29"/>
      <c r="C61" s="29"/>
      <c r="D61" s="29"/>
    </row>
    <row r="62" spans="1:10" x14ac:dyDescent="0.25">
      <c r="A62" t="s">
        <v>336</v>
      </c>
      <c r="B62" s="214">
        <v>12.5</v>
      </c>
      <c r="C62" s="214">
        <v>12.5</v>
      </c>
      <c r="D62" s="214">
        <v>12.5</v>
      </c>
      <c r="E62" s="342" t="s">
        <v>142</v>
      </c>
      <c r="F62" s="51" t="s">
        <v>232</v>
      </c>
    </row>
    <row r="63" spans="1:10" x14ac:dyDescent="0.25">
      <c r="A63" t="s">
        <v>337</v>
      </c>
      <c r="B63" s="214">
        <v>4.3</v>
      </c>
      <c r="C63" s="214">
        <v>4.3</v>
      </c>
      <c r="D63" s="214">
        <v>4.3</v>
      </c>
      <c r="E63" s="342"/>
      <c r="F63" s="51" t="s">
        <v>232</v>
      </c>
    </row>
    <row r="64" spans="1:10" x14ac:dyDescent="0.25">
      <c r="A64" t="s">
        <v>338</v>
      </c>
      <c r="B64" s="269">
        <f>EF_Screen_Dry_TSP_CR*EF_Screen_Wet_PM2.5_CR/EF_Screen_Wet_TSP_CR</f>
        <v>0.28409090909090906</v>
      </c>
      <c r="C64" s="269">
        <f>EF_Screen_Dry_TSP_SG*EF_Screen_Wet_PM2.5_SG/EF_Screen_Wet_TSP_SG</f>
        <v>0.28409090909090906</v>
      </c>
      <c r="D64" s="269">
        <f>EF_Screen_Dry_TSP_RA*EF_Screen_Wet_PM2.5_RA/EF_Screen_Wet_TSP_RA</f>
        <v>0.28409090909090906</v>
      </c>
      <c r="E64" s="342"/>
      <c r="H64" s="47"/>
      <c r="I64" s="47"/>
      <c r="J64" s="47"/>
    </row>
    <row r="65" spans="1:10" x14ac:dyDescent="0.25">
      <c r="B65" s="29"/>
      <c r="C65" s="29"/>
      <c r="D65" s="29"/>
    </row>
    <row r="66" spans="1:10" x14ac:dyDescent="0.25">
      <c r="A66" t="s">
        <v>339</v>
      </c>
      <c r="B66" s="211">
        <v>1.1000000000000001</v>
      </c>
      <c r="C66" s="211">
        <v>1.1000000000000001</v>
      </c>
      <c r="D66" s="211">
        <v>1.1000000000000001</v>
      </c>
      <c r="E66" s="342" t="s">
        <v>143</v>
      </c>
      <c r="F66" s="51" t="s">
        <v>232</v>
      </c>
      <c r="H66" s="51"/>
    </row>
    <row r="67" spans="1:10" x14ac:dyDescent="0.25">
      <c r="A67" t="s">
        <v>340</v>
      </c>
      <c r="B67" s="211">
        <v>0.37</v>
      </c>
      <c r="C67" s="211">
        <v>0.37</v>
      </c>
      <c r="D67" s="211">
        <v>0.37</v>
      </c>
      <c r="E67" s="342"/>
      <c r="F67" s="51" t="s">
        <v>232</v>
      </c>
      <c r="G67" s="51"/>
    </row>
    <row r="68" spans="1:10" x14ac:dyDescent="0.25">
      <c r="A68" t="s">
        <v>341</v>
      </c>
      <c r="B68" s="211">
        <v>2.5000000000000001E-2</v>
      </c>
      <c r="C68" s="211">
        <v>2.5000000000000001E-2</v>
      </c>
      <c r="D68" s="211">
        <v>2.5000000000000001E-2</v>
      </c>
      <c r="E68" s="342"/>
      <c r="F68" s="51" t="s">
        <v>232</v>
      </c>
      <c r="G68" s="51"/>
    </row>
    <row r="69" spans="1:10" x14ac:dyDescent="0.25">
      <c r="B69" s="29"/>
      <c r="C69" s="29"/>
      <c r="D69" s="29"/>
    </row>
    <row r="70" spans="1:10" x14ac:dyDescent="0.25">
      <c r="A70" t="s">
        <v>342</v>
      </c>
      <c r="B70" s="211">
        <v>1.5</v>
      </c>
      <c r="C70" s="211">
        <v>1.5</v>
      </c>
      <c r="D70" s="211">
        <v>1.5</v>
      </c>
      <c r="E70" s="342" t="s">
        <v>144</v>
      </c>
      <c r="F70" s="51" t="s">
        <v>232</v>
      </c>
    </row>
    <row r="71" spans="1:10" x14ac:dyDescent="0.25">
      <c r="A71" t="s">
        <v>343</v>
      </c>
      <c r="B71" s="211">
        <v>0.55000000000000004</v>
      </c>
      <c r="C71" s="211">
        <v>0.55000000000000004</v>
      </c>
      <c r="D71" s="211">
        <v>0.55000000000000004</v>
      </c>
      <c r="E71" s="342"/>
      <c r="F71" s="51" t="s">
        <v>232</v>
      </c>
    </row>
    <row r="72" spans="1:10" x14ac:dyDescent="0.25">
      <c r="A72" t="s">
        <v>344</v>
      </c>
      <c r="B72" s="269">
        <f>EF_TP_Dry_TSP_CR*EF_TP_Wet_PM2.5_CR/EF_TP_Wet_TSP_CR</f>
        <v>0.13928571428571429</v>
      </c>
      <c r="C72" s="269">
        <f>EF_TP_Dry_TSP_SG*EF_TP_Wet_PM2.5_SG/EF_TP_Wet_TSP_SG</f>
        <v>0.13928571428571429</v>
      </c>
      <c r="D72" s="269">
        <f>EF_TP_Dry_TSP_RA*EF_TP_Wet_PM2.5_RA/EF_TP_Wet_TSP_RA</f>
        <v>0.13928571428571429</v>
      </c>
      <c r="E72" s="342"/>
      <c r="H72" s="47"/>
      <c r="I72" s="47"/>
      <c r="J72" s="47"/>
    </row>
    <row r="73" spans="1:10" x14ac:dyDescent="0.25">
      <c r="B73" s="29"/>
      <c r="C73" s="29"/>
      <c r="D73" s="29"/>
    </row>
    <row r="74" spans="1:10" x14ac:dyDescent="0.25">
      <c r="A74" t="s">
        <v>345</v>
      </c>
      <c r="B74" s="211">
        <v>6.9999999999999993E-2</v>
      </c>
      <c r="C74" s="211">
        <v>6.9999999999999993E-2</v>
      </c>
      <c r="D74" s="211">
        <v>6.9999999999999993E-2</v>
      </c>
      <c r="E74" s="342" t="s">
        <v>145</v>
      </c>
      <c r="F74" s="51" t="s">
        <v>232</v>
      </c>
    </row>
    <row r="75" spans="1:10" x14ac:dyDescent="0.25">
      <c r="A75" t="s">
        <v>346</v>
      </c>
      <c r="B75" s="211">
        <v>2.3E-2</v>
      </c>
      <c r="C75" s="211">
        <v>2.3E-2</v>
      </c>
      <c r="D75" s="211">
        <v>2.3E-2</v>
      </c>
      <c r="E75" s="342"/>
      <c r="F75" s="51" t="s">
        <v>232</v>
      </c>
    </row>
    <row r="76" spans="1:10" x14ac:dyDescent="0.25">
      <c r="A76" t="s">
        <v>347</v>
      </c>
      <c r="B76" s="211">
        <v>6.4999999999999997E-3</v>
      </c>
      <c r="C76" s="211">
        <v>6.4999999999999997E-3</v>
      </c>
      <c r="D76" s="211">
        <v>6.4999999999999997E-3</v>
      </c>
      <c r="E76" s="342"/>
      <c r="F76" s="51" t="s">
        <v>232</v>
      </c>
    </row>
    <row r="77" spans="1:10" x14ac:dyDescent="0.25">
      <c r="B77" s="29"/>
      <c r="C77" s="29"/>
      <c r="D77" s="29"/>
    </row>
    <row r="78" spans="1:10" s="51" customFormat="1" x14ac:dyDescent="0.25">
      <c r="A78" s="51" t="s">
        <v>374</v>
      </c>
      <c r="B78" s="41">
        <v>0</v>
      </c>
      <c r="C78" s="41">
        <v>0</v>
      </c>
      <c r="D78" s="41">
        <v>0</v>
      </c>
      <c r="E78" s="342" t="s">
        <v>377</v>
      </c>
      <c r="F78" s="51" t="s">
        <v>454</v>
      </c>
    </row>
    <row r="79" spans="1:10" s="51" customFormat="1" x14ac:dyDescent="0.25">
      <c r="A79" s="51" t="s">
        <v>375</v>
      </c>
      <c r="B79" s="41">
        <v>0</v>
      </c>
      <c r="C79" s="41">
        <v>0</v>
      </c>
      <c r="D79" s="41">
        <v>0</v>
      </c>
      <c r="E79" s="342"/>
      <c r="F79" s="51" t="s">
        <v>454</v>
      </c>
    </row>
    <row r="80" spans="1:10" s="51" customFormat="1" x14ac:dyDescent="0.25">
      <c r="A80" s="51" t="s">
        <v>376</v>
      </c>
      <c r="B80" s="41">
        <v>0</v>
      </c>
      <c r="C80" s="41">
        <v>0</v>
      </c>
      <c r="D80" s="41">
        <v>0</v>
      </c>
      <c r="E80" s="342"/>
      <c r="F80" s="51" t="s">
        <v>454</v>
      </c>
    </row>
    <row r="81" spans="1:6" s="51" customFormat="1" x14ac:dyDescent="0.25">
      <c r="B81" s="29"/>
      <c r="C81" s="29"/>
      <c r="D81" s="29"/>
    </row>
    <row r="82" spans="1:6" s="51" customFormat="1" x14ac:dyDescent="0.25">
      <c r="A82" s="51" t="s">
        <v>441</v>
      </c>
      <c r="B82" s="41" t="s">
        <v>16</v>
      </c>
      <c r="C82" s="41" t="s">
        <v>16</v>
      </c>
      <c r="D82" s="255">
        <v>1</v>
      </c>
      <c r="F82" s="51" t="s">
        <v>454</v>
      </c>
    </row>
    <row r="83" spans="1:6" s="51" customFormat="1" x14ac:dyDescent="0.25">
      <c r="B83" s="29"/>
      <c r="C83" s="29"/>
      <c r="D83" s="29"/>
    </row>
    <row r="84" spans="1:6" x14ac:dyDescent="0.25">
      <c r="A84" s="341" t="s">
        <v>53</v>
      </c>
      <c r="B84" s="341"/>
      <c r="C84" s="341"/>
      <c r="D84" s="341"/>
      <c r="E84" s="341"/>
      <c r="F84"/>
    </row>
    <row r="85" spans="1:6" x14ac:dyDescent="0.25">
      <c r="A85" s="14" t="s">
        <v>92</v>
      </c>
      <c r="B85" s="29"/>
      <c r="C85" s="29"/>
      <c r="D85" s="29"/>
    </row>
    <row r="86" spans="1:6" x14ac:dyDescent="0.25">
      <c r="A86" t="s">
        <v>82</v>
      </c>
      <c r="B86" s="41">
        <v>0.9</v>
      </c>
      <c r="C86" s="41">
        <v>0.15</v>
      </c>
      <c r="D86" s="41">
        <f>1*D82</f>
        <v>1</v>
      </c>
      <c r="E86" s="31" t="s">
        <v>146</v>
      </c>
      <c r="F86" s="51" t="s">
        <v>371</v>
      </c>
    </row>
    <row r="87" spans="1:6" x14ac:dyDescent="0.25">
      <c r="A87" t="s">
        <v>85</v>
      </c>
      <c r="B87" s="41">
        <v>1</v>
      </c>
      <c r="C87" s="41">
        <v>1</v>
      </c>
      <c r="D87" s="41">
        <f>1*D82</f>
        <v>1</v>
      </c>
      <c r="E87" s="31" t="s">
        <v>149</v>
      </c>
      <c r="F87" s="51" t="s">
        <v>371</v>
      </c>
    </row>
    <row r="88" spans="1:6" x14ac:dyDescent="0.25">
      <c r="A88" t="s">
        <v>88</v>
      </c>
      <c r="B88" s="44">
        <f>Flow_P_Crush_CR+Flow_P_Screen_CR*2</f>
        <v>2.9</v>
      </c>
      <c r="C88" s="44">
        <f>Flow_P_Crush_SG+Flow_P_Screen_SG*2</f>
        <v>2.15</v>
      </c>
      <c r="D88" s="44">
        <f>Flow_P_Crush_RA+Flow_P_Screen_RA*2</f>
        <v>3</v>
      </c>
      <c r="E88" s="31" t="s">
        <v>152</v>
      </c>
      <c r="F88" s="51" t="s">
        <v>371</v>
      </c>
    </row>
    <row r="89" spans="1:6" x14ac:dyDescent="0.25">
      <c r="A89" s="14" t="s">
        <v>91</v>
      </c>
      <c r="B89" s="43"/>
      <c r="C89" s="43"/>
      <c r="D89" s="43"/>
      <c r="E89" s="31"/>
    </row>
    <row r="90" spans="1:6" x14ac:dyDescent="0.25">
      <c r="A90" t="s">
        <v>83</v>
      </c>
      <c r="B90" s="41">
        <v>0.7</v>
      </c>
      <c r="C90" s="41">
        <v>0.6</v>
      </c>
      <c r="D90" s="41">
        <v>0.7</v>
      </c>
      <c r="E90" s="31" t="s">
        <v>147</v>
      </c>
      <c r="F90" s="51" t="s">
        <v>371</v>
      </c>
    </row>
    <row r="91" spans="1:6" x14ac:dyDescent="0.25">
      <c r="A91" t="s">
        <v>86</v>
      </c>
      <c r="B91" s="41">
        <v>0.9</v>
      </c>
      <c r="C91" s="41">
        <v>0.6</v>
      </c>
      <c r="D91" s="41">
        <v>1</v>
      </c>
      <c r="E91" s="31" t="s">
        <v>150</v>
      </c>
      <c r="F91" s="51" t="s">
        <v>371</v>
      </c>
    </row>
    <row r="92" spans="1:6" x14ac:dyDescent="0.25">
      <c r="A92" t="s">
        <v>89</v>
      </c>
      <c r="B92" s="44">
        <f>(Flow_S_Crush_CR+Flow_S_Screen_CR)</f>
        <v>1.6</v>
      </c>
      <c r="C92" s="44">
        <f>(Flow_S_Crush_SG+Flow_S_Screen_SG)</f>
        <v>1.2</v>
      </c>
      <c r="D92" s="44">
        <f>(Flow_S_Crush_RA+Flow_S_Screen_RA)</f>
        <v>1.7</v>
      </c>
      <c r="E92" s="31" t="s">
        <v>153</v>
      </c>
      <c r="F92" s="51" t="s">
        <v>371</v>
      </c>
    </row>
    <row r="93" spans="1:6" x14ac:dyDescent="0.25">
      <c r="A93" s="14" t="s">
        <v>93</v>
      </c>
      <c r="B93" s="43"/>
      <c r="C93" s="43"/>
      <c r="D93" s="43"/>
      <c r="E93" s="31"/>
    </row>
    <row r="94" spans="1:6" x14ac:dyDescent="0.25">
      <c r="A94" t="s">
        <v>84</v>
      </c>
      <c r="B94" s="41">
        <v>0.5</v>
      </c>
      <c r="C94" s="41">
        <v>0.6</v>
      </c>
      <c r="D94" s="41">
        <v>9.9999999999999995E-8</v>
      </c>
      <c r="E94" s="31" t="s">
        <v>148</v>
      </c>
      <c r="F94" s="51" t="s">
        <v>371</v>
      </c>
    </row>
    <row r="95" spans="1:6" x14ac:dyDescent="0.25">
      <c r="A95" t="s">
        <v>87</v>
      </c>
      <c r="B95" s="41">
        <v>0.9</v>
      </c>
      <c r="C95" s="41">
        <v>0.6</v>
      </c>
      <c r="D95" s="41">
        <v>1E-8</v>
      </c>
      <c r="E95" s="31" t="s">
        <v>151</v>
      </c>
      <c r="F95" s="51" t="s">
        <v>371</v>
      </c>
    </row>
    <row r="96" spans="1:6" x14ac:dyDescent="0.25">
      <c r="A96" t="s">
        <v>90</v>
      </c>
      <c r="B96" s="44">
        <f>(Flow_T_Screen_CR+Flow_T_Crush_CR)</f>
        <v>1.4</v>
      </c>
      <c r="C96" s="44">
        <f>(Flow_T_Screen_SG+Flow_T_Crush_SG)</f>
        <v>1.2</v>
      </c>
      <c r="D96" s="44">
        <f>(Flow_T_Crush_RA+Flow_T_Screen_RA)</f>
        <v>1.0999999999999999E-7</v>
      </c>
      <c r="E96" s="31" t="s">
        <v>154</v>
      </c>
      <c r="F96" s="51" t="s">
        <v>371</v>
      </c>
    </row>
    <row r="97" spans="1:6" x14ac:dyDescent="0.25">
      <c r="B97" s="29"/>
      <c r="C97" s="29"/>
      <c r="D97" s="29"/>
    </row>
    <row r="98" spans="1:6" x14ac:dyDescent="0.25">
      <c r="A98" s="341" t="s">
        <v>52</v>
      </c>
      <c r="B98" s="341"/>
      <c r="C98" s="341"/>
      <c r="D98" s="341"/>
      <c r="E98" s="341"/>
    </row>
    <row r="99" spans="1:6" x14ac:dyDescent="0.25">
      <c r="A99" s="14" t="s">
        <v>31</v>
      </c>
      <c r="B99" s="45"/>
      <c r="C99" s="45"/>
      <c r="D99" s="45"/>
      <c r="E99" s="45"/>
      <c r="F99" s="45"/>
    </row>
    <row r="100" spans="1:6" x14ac:dyDescent="0.25">
      <c r="A100" t="s">
        <v>94</v>
      </c>
      <c r="B100" s="41">
        <v>1</v>
      </c>
      <c r="C100" s="41">
        <v>1</v>
      </c>
      <c r="D100" s="41">
        <v>1</v>
      </c>
      <c r="E100" s="31" t="s">
        <v>155</v>
      </c>
      <c r="F100" s="51" t="s">
        <v>371</v>
      </c>
    </row>
    <row r="101" spans="1:6" x14ac:dyDescent="0.25">
      <c r="A101" t="s">
        <v>97</v>
      </c>
      <c r="B101" s="41">
        <v>1</v>
      </c>
      <c r="C101" s="41">
        <v>1</v>
      </c>
      <c r="D101" s="41">
        <v>1</v>
      </c>
      <c r="E101" s="31" t="s">
        <v>156</v>
      </c>
      <c r="F101" s="51" t="s">
        <v>371</v>
      </c>
    </row>
    <row r="102" spans="1:6" x14ac:dyDescent="0.25">
      <c r="A102" t="s">
        <v>100</v>
      </c>
      <c r="B102" s="41">
        <v>0.75</v>
      </c>
      <c r="C102" s="41">
        <v>1</v>
      </c>
      <c r="D102" s="41">
        <v>0</v>
      </c>
      <c r="E102" s="31" t="s">
        <v>157</v>
      </c>
      <c r="F102" s="51" t="s">
        <v>371</v>
      </c>
    </row>
    <row r="103" spans="1:6" x14ac:dyDescent="0.25">
      <c r="A103" s="14" t="s">
        <v>32</v>
      </c>
      <c r="B103" s="43"/>
      <c r="C103" s="43"/>
      <c r="D103" s="225"/>
      <c r="E103" s="31"/>
    </row>
    <row r="104" spans="1:6" x14ac:dyDescent="0.25">
      <c r="A104" t="s">
        <v>95</v>
      </c>
      <c r="B104" s="41">
        <v>1</v>
      </c>
      <c r="C104" s="41">
        <v>1</v>
      </c>
      <c r="D104" s="41">
        <v>1</v>
      </c>
      <c r="E104" s="31" t="s">
        <v>158</v>
      </c>
      <c r="F104" s="51" t="s">
        <v>371</v>
      </c>
    </row>
    <row r="105" spans="1:6" x14ac:dyDescent="0.25">
      <c r="A105" t="s">
        <v>98</v>
      </c>
      <c r="B105" s="41">
        <v>1</v>
      </c>
      <c r="C105" s="41">
        <v>1</v>
      </c>
      <c r="D105" s="41">
        <v>1</v>
      </c>
      <c r="E105" s="31" t="s">
        <v>159</v>
      </c>
      <c r="F105" s="51" t="s">
        <v>371</v>
      </c>
    </row>
    <row r="106" spans="1:6" x14ac:dyDescent="0.25">
      <c r="A106" t="s">
        <v>101</v>
      </c>
      <c r="B106" s="41">
        <v>0.75</v>
      </c>
      <c r="C106" s="41">
        <v>1</v>
      </c>
      <c r="D106" s="41">
        <v>0</v>
      </c>
      <c r="E106" s="31" t="s">
        <v>160</v>
      </c>
      <c r="F106" s="51" t="s">
        <v>371</v>
      </c>
    </row>
    <row r="107" spans="1:6" x14ac:dyDescent="0.25">
      <c r="A107" s="14" t="s">
        <v>33</v>
      </c>
      <c r="B107" s="19"/>
      <c r="C107" s="19"/>
      <c r="D107" s="19"/>
      <c r="E107" s="31"/>
    </row>
    <row r="108" spans="1:6" x14ac:dyDescent="0.25">
      <c r="A108" t="s">
        <v>96</v>
      </c>
      <c r="B108" s="41">
        <v>1</v>
      </c>
      <c r="C108" s="41">
        <v>1</v>
      </c>
      <c r="D108" s="41">
        <v>1</v>
      </c>
      <c r="E108" s="31" t="s">
        <v>161</v>
      </c>
      <c r="F108" s="51" t="s">
        <v>371</v>
      </c>
    </row>
    <row r="109" spans="1:6" x14ac:dyDescent="0.25">
      <c r="A109" t="s">
        <v>99</v>
      </c>
      <c r="B109" s="41">
        <v>0.5</v>
      </c>
      <c r="C109" s="41">
        <v>0.5</v>
      </c>
      <c r="D109" s="41">
        <v>0</v>
      </c>
      <c r="E109" s="31" t="s">
        <v>162</v>
      </c>
      <c r="F109" s="51" t="s">
        <v>371</v>
      </c>
    </row>
    <row r="110" spans="1:6" x14ac:dyDescent="0.25">
      <c r="A110" t="s">
        <v>102</v>
      </c>
      <c r="B110" s="41">
        <v>0</v>
      </c>
      <c r="C110" s="41">
        <v>0</v>
      </c>
      <c r="D110" s="41">
        <v>0</v>
      </c>
      <c r="E110" s="31" t="s">
        <v>163</v>
      </c>
      <c r="F110" s="51" t="s">
        <v>371</v>
      </c>
    </row>
    <row r="111" spans="1:6" x14ac:dyDescent="0.25">
      <c r="B111" s="24"/>
      <c r="C111" s="24"/>
      <c r="D111" s="24"/>
    </row>
    <row r="112" spans="1:6" x14ac:dyDescent="0.25">
      <c r="A112" s="341" t="s">
        <v>378</v>
      </c>
      <c r="B112" s="341"/>
      <c r="C112" s="341"/>
      <c r="D112" s="341"/>
      <c r="E112" s="341"/>
    </row>
    <row r="113" spans="1:6" x14ac:dyDescent="0.25">
      <c r="A113" t="s">
        <v>117</v>
      </c>
      <c r="B113" s="41">
        <v>0.85</v>
      </c>
      <c r="C113" s="41">
        <v>0.85</v>
      </c>
      <c r="D113" s="41">
        <v>0.85</v>
      </c>
      <c r="E113" s="51"/>
      <c r="F113" s="51" t="s">
        <v>247</v>
      </c>
    </row>
    <row r="114" spans="1:6" x14ac:dyDescent="0.25">
      <c r="A114" t="s">
        <v>119</v>
      </c>
      <c r="B114" s="41">
        <v>0.5</v>
      </c>
      <c r="C114" s="41">
        <v>0.5</v>
      </c>
      <c r="D114" s="41">
        <v>0.5</v>
      </c>
      <c r="E114" s="51"/>
      <c r="F114" s="51" t="s">
        <v>247</v>
      </c>
    </row>
    <row r="115" spans="1:6" x14ac:dyDescent="0.25">
      <c r="A115" t="s">
        <v>29</v>
      </c>
      <c r="B115" s="274">
        <v>0</v>
      </c>
      <c r="C115" s="274">
        <v>0</v>
      </c>
      <c r="D115" s="274">
        <v>0</v>
      </c>
      <c r="E115" s="31"/>
      <c r="F115" s="51" t="s">
        <v>454</v>
      </c>
    </row>
    <row r="116" spans="1:6" x14ac:dyDescent="0.25">
      <c r="A116" s="14" t="s">
        <v>31</v>
      </c>
      <c r="B116" s="13"/>
      <c r="C116" s="13"/>
      <c r="D116" s="13"/>
      <c r="E116" s="31"/>
    </row>
    <row r="117" spans="1:6" x14ac:dyDescent="0.25">
      <c r="A117" t="s">
        <v>118</v>
      </c>
      <c r="B117" s="41">
        <f>0.79</f>
        <v>0.79</v>
      </c>
      <c r="C117" s="41">
        <f>0.79</f>
        <v>0.79</v>
      </c>
      <c r="D117" s="41">
        <v>0.79</v>
      </c>
      <c r="E117" s="31"/>
      <c r="F117" s="51" t="s">
        <v>238</v>
      </c>
    </row>
    <row r="118" spans="1:6" x14ac:dyDescent="0.25">
      <c r="A118" t="s">
        <v>120</v>
      </c>
      <c r="B118" s="41">
        <v>0.24</v>
      </c>
      <c r="C118" s="41">
        <v>0.24</v>
      </c>
      <c r="D118" s="41">
        <v>0.24</v>
      </c>
      <c r="E118" s="31"/>
      <c r="F118" s="51" t="s">
        <v>235</v>
      </c>
    </row>
    <row r="119" spans="1:6" x14ac:dyDescent="0.25">
      <c r="A119" t="s">
        <v>30</v>
      </c>
      <c r="B119" s="274">
        <v>0</v>
      </c>
      <c r="C119" s="274">
        <v>0</v>
      </c>
      <c r="D119" s="274">
        <v>0</v>
      </c>
      <c r="E119" s="31"/>
      <c r="F119" s="51" t="s">
        <v>454</v>
      </c>
    </row>
    <row r="120" spans="1:6" x14ac:dyDescent="0.25">
      <c r="A120" t="s">
        <v>34</v>
      </c>
      <c r="B120" s="28">
        <f>1-(B117*(1-B$113)+(1-B117))*(B118*(1-B$114)+(1-B118))*(B119*(1-B$115)+(1-B119))</f>
        <v>0.71092</v>
      </c>
      <c r="C120" s="28">
        <f>1-(C117*(1-C$113)+(1-C117))*(C118*(1-C$114)+(1-C118))*(C119*(1-C$115)+(1-C119))</f>
        <v>0.71092</v>
      </c>
      <c r="D120" s="28">
        <f>1-(D117*(1-D$113)+(1-D117))*(D118*(1-D$114)+(1-D118))*(D119*(1-D$115)+(1-D119))</f>
        <v>0.71092</v>
      </c>
      <c r="E120" s="31" t="s">
        <v>384</v>
      </c>
    </row>
    <row r="121" spans="1:6" x14ac:dyDescent="0.25">
      <c r="A121" s="14" t="s">
        <v>32</v>
      </c>
      <c r="B121" s="13"/>
      <c r="C121" s="13"/>
      <c r="D121" s="13"/>
      <c r="E121" s="31"/>
    </row>
    <row r="122" spans="1:6" x14ac:dyDescent="0.25">
      <c r="A122" t="s">
        <v>118</v>
      </c>
      <c r="B122" s="41">
        <v>0.61</v>
      </c>
      <c r="C122" s="41">
        <v>0.61</v>
      </c>
      <c r="D122" s="41">
        <v>0.61</v>
      </c>
      <c r="E122" s="31"/>
      <c r="F122" s="51" t="s">
        <v>238</v>
      </c>
    </row>
    <row r="123" spans="1:6" x14ac:dyDescent="0.25">
      <c r="A123" t="s">
        <v>120</v>
      </c>
      <c r="B123" s="41">
        <v>0.22</v>
      </c>
      <c r="C123" s="41">
        <v>0.22</v>
      </c>
      <c r="D123" s="41">
        <v>0.22</v>
      </c>
      <c r="E123" s="31"/>
      <c r="F123" s="51" t="s">
        <v>235</v>
      </c>
    </row>
    <row r="124" spans="1:6" x14ac:dyDescent="0.25">
      <c r="A124" t="s">
        <v>30</v>
      </c>
      <c r="B124" s="41">
        <v>0</v>
      </c>
      <c r="C124" s="41">
        <v>0</v>
      </c>
      <c r="D124" s="41">
        <v>0</v>
      </c>
      <c r="E124" s="31"/>
      <c r="F124" s="51" t="s">
        <v>454</v>
      </c>
    </row>
    <row r="125" spans="1:6" x14ac:dyDescent="0.25">
      <c r="A125" t="s">
        <v>35</v>
      </c>
      <c r="B125" s="28">
        <f>1-(B122*(1-B$113)+(1-B122))*(B123*(1-B$114)+(1-B123))*(B124*(1-B$115)+(1-B124))</f>
        <v>0.57146499999999989</v>
      </c>
      <c r="C125" s="28">
        <f>1-(C122*(1-C$113)+(1-C122))*(C123*(1-C$114)+(1-C123))*(C124*(1-C$115)+(1-C124))</f>
        <v>0.57146499999999989</v>
      </c>
      <c r="D125" s="28">
        <f>1-(D122*(1-D$113)+(1-D122))*(D123*(1-D$114)+(1-D123))*(D124*(1-D$115)+(1-D124))</f>
        <v>0.57146499999999989</v>
      </c>
      <c r="E125" s="31" t="s">
        <v>385</v>
      </c>
    </row>
    <row r="126" spans="1:6" x14ac:dyDescent="0.25">
      <c r="A126" s="14" t="s">
        <v>33</v>
      </c>
      <c r="B126" s="13"/>
      <c r="C126" s="13"/>
      <c r="D126" s="13"/>
      <c r="E126" s="31"/>
    </row>
    <row r="127" spans="1:6" x14ac:dyDescent="0.25">
      <c r="A127" t="s">
        <v>118</v>
      </c>
      <c r="B127" s="41">
        <v>0</v>
      </c>
      <c r="C127" s="41">
        <v>0</v>
      </c>
      <c r="D127" s="41">
        <v>0</v>
      </c>
      <c r="E127" s="31"/>
      <c r="F127" s="51" t="s">
        <v>238</v>
      </c>
    </row>
    <row r="128" spans="1:6" x14ac:dyDescent="0.25">
      <c r="A128" t="s">
        <v>120</v>
      </c>
      <c r="B128" s="41">
        <v>0</v>
      </c>
      <c r="C128" s="41">
        <v>0</v>
      </c>
      <c r="D128" s="41">
        <v>0</v>
      </c>
      <c r="E128" s="31"/>
      <c r="F128" s="51" t="s">
        <v>235</v>
      </c>
    </row>
    <row r="129" spans="1:6" x14ac:dyDescent="0.25">
      <c r="A129" t="s">
        <v>30</v>
      </c>
      <c r="B129" s="274">
        <v>0</v>
      </c>
      <c r="C129" s="274">
        <v>0</v>
      </c>
      <c r="D129" s="274">
        <v>0</v>
      </c>
      <c r="E129" s="31"/>
      <c r="F129" s="51" t="s">
        <v>454</v>
      </c>
    </row>
    <row r="130" spans="1:6" x14ac:dyDescent="0.25">
      <c r="A130" t="s">
        <v>36</v>
      </c>
      <c r="B130" s="28">
        <f>1-(B127*(1-B$113)+(1-B127))*(B128*(1-B$114)+(1-B128))*(B129*(1-B$115)+(1-B129))</f>
        <v>0</v>
      </c>
      <c r="C130" s="28">
        <f>1-(C127*(1-C$113)+(1-C127))*(C128*(1-C$114)+(1-C128))*(C129*(1-C$115)+(1-C129))</f>
        <v>0</v>
      </c>
      <c r="D130" s="28">
        <f>1-(D127*(1-D$113)+(1-D127))*(D128*(1-D$114)+(1-D128))*(D129*(1-D$115)+(1-D129))</f>
        <v>0</v>
      </c>
      <c r="E130" s="31" t="s">
        <v>386</v>
      </c>
    </row>
    <row r="132" spans="1:6" x14ac:dyDescent="0.25">
      <c r="A132" s="341" t="s">
        <v>379</v>
      </c>
      <c r="B132" s="341"/>
      <c r="C132" s="341"/>
      <c r="D132" s="341"/>
      <c r="E132" s="341"/>
    </row>
    <row r="133" spans="1:6" x14ac:dyDescent="0.25">
      <c r="A133" t="s">
        <v>115</v>
      </c>
      <c r="B133" s="41">
        <v>0.5</v>
      </c>
      <c r="C133" s="41">
        <v>0.5</v>
      </c>
      <c r="D133" s="41">
        <v>0.5</v>
      </c>
      <c r="E133" s="51"/>
      <c r="F133" s="51" t="s">
        <v>247</v>
      </c>
    </row>
    <row r="134" spans="1:6" x14ac:dyDescent="0.25">
      <c r="A134" t="s">
        <v>362</v>
      </c>
      <c r="B134" s="41">
        <v>1</v>
      </c>
      <c r="C134" s="41">
        <v>1</v>
      </c>
      <c r="D134" s="41">
        <v>1</v>
      </c>
      <c r="E134" s="51"/>
      <c r="F134" s="51" t="s">
        <v>371</v>
      </c>
    </row>
    <row r="135" spans="1:6" x14ac:dyDescent="0.25">
      <c r="A135" t="s">
        <v>37</v>
      </c>
      <c r="B135" s="274">
        <v>0</v>
      </c>
      <c r="C135" s="274">
        <v>0</v>
      </c>
      <c r="D135" s="274">
        <v>0</v>
      </c>
      <c r="F135" s="51" t="s">
        <v>454</v>
      </c>
    </row>
    <row r="136" spans="1:6" x14ac:dyDescent="0.25">
      <c r="A136" s="14" t="s">
        <v>31</v>
      </c>
      <c r="B136" s="13"/>
      <c r="C136" s="13"/>
      <c r="D136" s="13"/>
    </row>
    <row r="137" spans="1:6" x14ac:dyDescent="0.25">
      <c r="A137" t="s">
        <v>116</v>
      </c>
      <c r="B137" s="41">
        <v>0.39</v>
      </c>
      <c r="C137" s="41">
        <v>0.39</v>
      </c>
      <c r="D137" s="41">
        <v>0.39</v>
      </c>
      <c r="E137" s="31"/>
      <c r="F137" s="51" t="s">
        <v>235</v>
      </c>
    </row>
    <row r="138" spans="1:6" x14ac:dyDescent="0.25">
      <c r="A138" s="51" t="s">
        <v>363</v>
      </c>
      <c r="B138" s="41">
        <v>0</v>
      </c>
      <c r="C138" s="41">
        <v>0.7</v>
      </c>
      <c r="D138" s="41">
        <v>0</v>
      </c>
      <c r="E138" s="31"/>
      <c r="F138" s="51" t="s">
        <v>371</v>
      </c>
    </row>
    <row r="139" spans="1:6" x14ac:dyDescent="0.25">
      <c r="A139" t="s">
        <v>38</v>
      </c>
      <c r="B139" s="274">
        <v>0</v>
      </c>
      <c r="C139" s="274">
        <v>0</v>
      </c>
      <c r="D139" s="274">
        <v>0</v>
      </c>
      <c r="E139" s="31"/>
      <c r="F139" s="51" t="s">
        <v>454</v>
      </c>
    </row>
    <row r="140" spans="1:6" x14ac:dyDescent="0.25">
      <c r="A140" t="s">
        <v>39</v>
      </c>
      <c r="B140" s="28">
        <f>1-(B137*(1-B$133)+(1-B137))*(B138*(1-B$134)+(1-B138))*(B139*(1-B$135)+(1-B139))</f>
        <v>0.19500000000000006</v>
      </c>
      <c r="C140" s="28">
        <f>1-(C137*(1-C$133)+(1-C137))*(C138*(1-C$134)+(1-C138))*(C139*(1-C$135)+(1-C139))</f>
        <v>0.75849999999999995</v>
      </c>
      <c r="D140" s="28">
        <f>1-(D137*(1-D$133)+(1-D137))*(D138*(1-D$134)+(1-D138))*(D139*(1-D$135)+(1-D139))</f>
        <v>0.19500000000000006</v>
      </c>
      <c r="E140" s="31" t="s">
        <v>387</v>
      </c>
    </row>
    <row r="141" spans="1:6" x14ac:dyDescent="0.25">
      <c r="A141" s="14" t="s">
        <v>32</v>
      </c>
      <c r="B141" s="13"/>
      <c r="C141" s="13"/>
      <c r="D141" s="13"/>
      <c r="E141" s="31"/>
    </row>
    <row r="142" spans="1:6" x14ac:dyDescent="0.25">
      <c r="A142" t="s">
        <v>116</v>
      </c>
      <c r="B142" s="41">
        <v>0.26</v>
      </c>
      <c r="C142" s="41">
        <v>0.26</v>
      </c>
      <c r="D142" s="41">
        <v>0.26</v>
      </c>
      <c r="E142" s="31"/>
      <c r="F142" s="51" t="s">
        <v>235</v>
      </c>
    </row>
    <row r="143" spans="1:6" x14ac:dyDescent="0.25">
      <c r="A143" s="51" t="s">
        <v>363</v>
      </c>
      <c r="B143" s="41">
        <v>0</v>
      </c>
      <c r="C143" s="41">
        <v>0.7</v>
      </c>
      <c r="D143" s="41">
        <v>0</v>
      </c>
      <c r="E143" s="31"/>
      <c r="F143" s="51" t="s">
        <v>371</v>
      </c>
    </row>
    <row r="144" spans="1:6" x14ac:dyDescent="0.25">
      <c r="A144" t="s">
        <v>38</v>
      </c>
      <c r="B144" s="274">
        <v>0</v>
      </c>
      <c r="C144" s="274">
        <v>0</v>
      </c>
      <c r="D144" s="274">
        <v>0</v>
      </c>
      <c r="E144" s="31"/>
      <c r="F144" s="51" t="s">
        <v>454</v>
      </c>
    </row>
    <row r="145" spans="1:6" x14ac:dyDescent="0.25">
      <c r="A145" t="s">
        <v>40</v>
      </c>
      <c r="B145" s="28">
        <f>1-(B142*(1-B$133)+(1-B142))*(B143*(1-B$134)+(1-B143))*(B144*(1-B$135)+(1-B144))</f>
        <v>0.13</v>
      </c>
      <c r="C145" s="28">
        <f>1-(C142*(1-C$133)+(1-C142))*(C143*(1-C$134)+(1-C143))*(C144*(1-C$135)+(1-C144))</f>
        <v>0.73899999999999999</v>
      </c>
      <c r="D145" s="28">
        <f>1-(D142*(1-D$133)+(1-D142))*(D143*(1-D$134)+(1-D143))*(D144*(1-D$135)+(1-D144))</f>
        <v>0.13</v>
      </c>
      <c r="E145" s="31" t="s">
        <v>388</v>
      </c>
    </row>
    <row r="146" spans="1:6" x14ac:dyDescent="0.25">
      <c r="A146" s="14" t="s">
        <v>33</v>
      </c>
      <c r="B146" s="13"/>
      <c r="C146" s="13"/>
      <c r="D146" s="13"/>
      <c r="E146" s="31"/>
    </row>
    <row r="147" spans="1:6" x14ac:dyDescent="0.25">
      <c r="A147" t="s">
        <v>116</v>
      </c>
      <c r="B147" s="41">
        <v>0</v>
      </c>
      <c r="C147" s="41">
        <v>0</v>
      </c>
      <c r="D147" s="41">
        <v>0</v>
      </c>
      <c r="E147" s="31"/>
      <c r="F147" s="51" t="s">
        <v>235</v>
      </c>
    </row>
    <row r="148" spans="1:6" x14ac:dyDescent="0.25">
      <c r="A148" s="51" t="s">
        <v>363</v>
      </c>
      <c r="B148" s="41">
        <v>0</v>
      </c>
      <c r="C148" s="41">
        <v>0.7</v>
      </c>
      <c r="D148" s="41">
        <v>0</v>
      </c>
      <c r="E148" s="31"/>
      <c r="F148" s="51" t="s">
        <v>371</v>
      </c>
    </row>
    <row r="149" spans="1:6" x14ac:dyDescent="0.25">
      <c r="A149" t="s">
        <v>38</v>
      </c>
      <c r="B149" s="274">
        <v>0</v>
      </c>
      <c r="C149" s="274">
        <v>0</v>
      </c>
      <c r="D149" s="274">
        <v>0</v>
      </c>
      <c r="E149" s="31"/>
      <c r="F149" s="51" t="s">
        <v>454</v>
      </c>
    </row>
    <row r="150" spans="1:6" x14ac:dyDescent="0.25">
      <c r="A150" t="s">
        <v>41</v>
      </c>
      <c r="B150" s="28">
        <f>1-(B147*(1-B$133)+(1-B147))*(B148*(1-B$134)+(1-B148))*(B149*(1-B$135)+(1-B149))</f>
        <v>0</v>
      </c>
      <c r="C150" s="28">
        <f>1-(C147*(1-C$133)+(1-C147))*(C148*(1-C$134)+(1-C148))*(C149*(1-C$135)+(1-C149))</f>
        <v>0.7</v>
      </c>
      <c r="D150" s="28">
        <f>1-(D147*(1-D$133)+(1-D147))*(D148*(1-D$134)+(1-D148))*(D149*(1-D$135)+(1-D149))</f>
        <v>0</v>
      </c>
      <c r="E150" s="31" t="s">
        <v>389</v>
      </c>
    </row>
    <row r="151" spans="1:6" x14ac:dyDescent="0.25">
      <c r="E151" s="31"/>
    </row>
    <row r="152" spans="1:6" x14ac:dyDescent="0.25">
      <c r="A152" s="341" t="s">
        <v>380</v>
      </c>
      <c r="B152" s="341"/>
      <c r="C152" s="341"/>
      <c r="D152" s="341"/>
      <c r="E152" s="341"/>
    </row>
    <row r="153" spans="1:6" x14ac:dyDescent="0.25">
      <c r="A153" s="51" t="s">
        <v>43</v>
      </c>
      <c r="B153" s="41">
        <v>0.95</v>
      </c>
      <c r="C153" s="41">
        <v>0.95</v>
      </c>
      <c r="D153" s="41">
        <v>0.95</v>
      </c>
      <c r="E153" s="51"/>
      <c r="F153" s="51" t="s">
        <v>247</v>
      </c>
    </row>
    <row r="154" spans="1:6" x14ac:dyDescent="0.25">
      <c r="A154" t="s">
        <v>44</v>
      </c>
      <c r="B154" s="274">
        <v>0</v>
      </c>
      <c r="C154" s="274">
        <v>0</v>
      </c>
      <c r="D154" s="274">
        <v>0</v>
      </c>
      <c r="F154" s="51" t="s">
        <v>454</v>
      </c>
    </row>
    <row r="155" spans="1:6" x14ac:dyDescent="0.25">
      <c r="A155" t="s">
        <v>45</v>
      </c>
      <c r="B155" s="274">
        <v>0</v>
      </c>
      <c r="C155" s="274">
        <v>0</v>
      </c>
      <c r="D155" s="274">
        <v>0</v>
      </c>
      <c r="F155" s="51" t="s">
        <v>454</v>
      </c>
    </row>
    <row r="156" spans="1:6" x14ac:dyDescent="0.25">
      <c r="A156" s="14" t="s">
        <v>31</v>
      </c>
      <c r="B156" s="13"/>
      <c r="C156" s="13"/>
      <c r="D156" s="13"/>
      <c r="E156" s="31"/>
    </row>
    <row r="157" spans="1:6" x14ac:dyDescent="0.25">
      <c r="A157" t="s">
        <v>46</v>
      </c>
      <c r="B157" s="274">
        <v>0</v>
      </c>
      <c r="C157" s="274">
        <v>0</v>
      </c>
      <c r="D157" s="274">
        <v>0</v>
      </c>
      <c r="E157" s="31"/>
      <c r="F157" s="51" t="s">
        <v>454</v>
      </c>
    </row>
    <row r="158" spans="1:6" x14ac:dyDescent="0.25">
      <c r="A158" t="s">
        <v>47</v>
      </c>
      <c r="B158" s="274">
        <v>0</v>
      </c>
      <c r="C158" s="274">
        <v>0</v>
      </c>
      <c r="D158" s="274">
        <v>0</v>
      </c>
      <c r="E158" s="31"/>
      <c r="F158" s="51" t="s">
        <v>454</v>
      </c>
    </row>
    <row r="159" spans="1:6" x14ac:dyDescent="0.25">
      <c r="A159" t="s">
        <v>48</v>
      </c>
      <c r="B159" s="274">
        <v>0</v>
      </c>
      <c r="C159" s="274">
        <v>0</v>
      </c>
      <c r="D159" s="274">
        <v>0</v>
      </c>
      <c r="E159" s="31"/>
      <c r="F159" s="51" t="s">
        <v>454</v>
      </c>
    </row>
    <row r="160" spans="1:6" x14ac:dyDescent="0.25">
      <c r="A160" t="s">
        <v>49</v>
      </c>
      <c r="B160" s="28">
        <f>1-(B157*(1-B$153)+(1-B157))*(B158*(1-B$154)+(1-B158))*(B159*(1-B$155)+(1-B159))</f>
        <v>0</v>
      </c>
      <c r="C160" s="28">
        <f>1-(C157*(1-C$153)+(1-C157))*(C158*(1-C$154)+(1-C158))*(C159*(1-C$155)+(1-C159))</f>
        <v>0</v>
      </c>
      <c r="D160" s="28">
        <f>1-(D157*(1-D$153)+(1-D157))*(D158*(1-D$154)+(1-D158))*(D159*(1-D$155)+(1-D159))</f>
        <v>0</v>
      </c>
      <c r="E160" s="31" t="s">
        <v>390</v>
      </c>
    </row>
    <row r="161" spans="1:6" x14ac:dyDescent="0.25">
      <c r="A161" s="14" t="s">
        <v>32</v>
      </c>
      <c r="B161" s="13"/>
      <c r="C161" s="13"/>
      <c r="D161" s="13"/>
      <c r="E161" s="31"/>
    </row>
    <row r="162" spans="1:6" x14ac:dyDescent="0.25">
      <c r="A162" t="s">
        <v>46</v>
      </c>
      <c r="B162" s="274">
        <v>0</v>
      </c>
      <c r="C162" s="274">
        <v>0</v>
      </c>
      <c r="D162" s="274">
        <v>0</v>
      </c>
      <c r="E162" s="31"/>
      <c r="F162" s="51" t="s">
        <v>454</v>
      </c>
    </row>
    <row r="163" spans="1:6" x14ac:dyDescent="0.25">
      <c r="A163" t="s">
        <v>47</v>
      </c>
      <c r="B163" s="274">
        <v>0</v>
      </c>
      <c r="C163" s="274">
        <v>0</v>
      </c>
      <c r="D163" s="274">
        <v>0</v>
      </c>
      <c r="E163" s="31"/>
      <c r="F163" s="51" t="s">
        <v>454</v>
      </c>
    </row>
    <row r="164" spans="1:6" x14ac:dyDescent="0.25">
      <c r="A164" t="s">
        <v>48</v>
      </c>
      <c r="B164" s="274">
        <v>0</v>
      </c>
      <c r="C164" s="274">
        <v>0</v>
      </c>
      <c r="D164" s="274">
        <v>0</v>
      </c>
      <c r="E164" s="31"/>
      <c r="F164" s="51" t="s">
        <v>454</v>
      </c>
    </row>
    <row r="165" spans="1:6" x14ac:dyDescent="0.25">
      <c r="A165" t="s">
        <v>50</v>
      </c>
      <c r="B165" s="28">
        <f>1-(B162*(1-B$153)+(1-B162))*(B163*(1-B$154)+(1-B163))*(B164*(1-B$155)+(1-B164))</f>
        <v>0</v>
      </c>
      <c r="C165" s="28">
        <f>1-(C162*(1-C$153)+(1-C162))*(C163*(1-C$154)+(1-C163))*(C164*(1-C$155)+(1-C164))</f>
        <v>0</v>
      </c>
      <c r="D165" s="28">
        <f>1-(D162*(1-D$153)+(1-D162))*(D163*(1-D$154)+(1-D163))*(D164*(1-D$155)+(1-D164))</f>
        <v>0</v>
      </c>
      <c r="E165" s="31" t="s">
        <v>391</v>
      </c>
    </row>
    <row r="166" spans="1:6" x14ac:dyDescent="0.25">
      <c r="A166" s="14" t="s">
        <v>33</v>
      </c>
      <c r="B166" s="13"/>
      <c r="C166" s="13"/>
      <c r="D166" s="13"/>
      <c r="E166" s="31"/>
    </row>
    <row r="167" spans="1:6" x14ac:dyDescent="0.25">
      <c r="A167" t="s">
        <v>46</v>
      </c>
      <c r="B167" s="274">
        <v>0</v>
      </c>
      <c r="C167" s="274">
        <v>0</v>
      </c>
      <c r="D167" s="274">
        <v>0</v>
      </c>
      <c r="E167" s="31"/>
      <c r="F167" s="51" t="s">
        <v>454</v>
      </c>
    </row>
    <row r="168" spans="1:6" x14ac:dyDescent="0.25">
      <c r="A168" t="s">
        <v>47</v>
      </c>
      <c r="B168" s="274">
        <v>0</v>
      </c>
      <c r="C168" s="274">
        <v>0</v>
      </c>
      <c r="D168" s="274">
        <v>0</v>
      </c>
      <c r="E168" s="31"/>
      <c r="F168" s="51" t="s">
        <v>454</v>
      </c>
    </row>
    <row r="169" spans="1:6" x14ac:dyDescent="0.25">
      <c r="A169" t="s">
        <v>48</v>
      </c>
      <c r="B169" s="274">
        <v>0</v>
      </c>
      <c r="C169" s="274">
        <v>0</v>
      </c>
      <c r="D169" s="274">
        <v>0</v>
      </c>
      <c r="E169" s="31"/>
      <c r="F169" s="51" t="s">
        <v>454</v>
      </c>
    </row>
    <row r="170" spans="1:6" x14ac:dyDescent="0.25">
      <c r="A170" t="s">
        <v>51</v>
      </c>
      <c r="B170" s="28">
        <f>1-(B167*(1-B$153)+(1-B167))*(B168*(1-B$154)+(1-B168))*(B169*(1-B$155)+(1-B169))</f>
        <v>0</v>
      </c>
      <c r="C170" s="28">
        <f>1-(C167*(1-C$153)+(1-C167))*(C168*(1-C$154)+(1-C168))*(C169*(1-C$155)+(1-C169))</f>
        <v>0</v>
      </c>
      <c r="D170" s="28">
        <f>1-(D167*(1-D$153)+(1-D167))*(D168*(1-D$154)+(1-D168))*(D169*(1-D$155)+(1-D169))</f>
        <v>0</v>
      </c>
      <c r="E170" s="31" t="s">
        <v>392</v>
      </c>
    </row>
    <row r="172" spans="1:6" x14ac:dyDescent="0.25">
      <c r="A172" s="341" t="s">
        <v>382</v>
      </c>
      <c r="B172" s="341"/>
      <c r="C172" s="341"/>
      <c r="D172" s="341"/>
      <c r="E172" s="341"/>
    </row>
    <row r="173" spans="1:6" x14ac:dyDescent="0.25">
      <c r="A173" s="51" t="s">
        <v>117</v>
      </c>
      <c r="B173" s="274">
        <v>0</v>
      </c>
      <c r="C173" s="274">
        <v>0</v>
      </c>
      <c r="D173" s="274">
        <v>0</v>
      </c>
      <c r="E173" s="51"/>
      <c r="F173" s="51" t="s">
        <v>454</v>
      </c>
    </row>
    <row r="174" spans="1:6" x14ac:dyDescent="0.25">
      <c r="A174" s="51" t="s">
        <v>119</v>
      </c>
      <c r="B174" s="274">
        <v>0</v>
      </c>
      <c r="C174" s="274">
        <v>0</v>
      </c>
      <c r="D174" s="274">
        <v>0</v>
      </c>
      <c r="E174" s="51"/>
      <c r="F174" s="51" t="s">
        <v>454</v>
      </c>
    </row>
    <row r="175" spans="1:6" x14ac:dyDescent="0.25">
      <c r="A175" s="51" t="s">
        <v>29</v>
      </c>
      <c r="B175" s="274">
        <v>0</v>
      </c>
      <c r="C175" s="274">
        <v>0</v>
      </c>
      <c r="D175" s="274">
        <v>0</v>
      </c>
      <c r="E175" s="206"/>
      <c r="F175" s="51" t="s">
        <v>454</v>
      </c>
    </row>
    <row r="176" spans="1:6" x14ac:dyDescent="0.25">
      <c r="A176" s="14" t="s">
        <v>31</v>
      </c>
      <c r="B176" s="13"/>
      <c r="C176" s="13"/>
      <c r="D176" s="13"/>
      <c r="E176" s="206"/>
    </row>
    <row r="177" spans="1:6" x14ac:dyDescent="0.25">
      <c r="A177" s="51" t="s">
        <v>118</v>
      </c>
      <c r="B177" s="274">
        <v>0</v>
      </c>
      <c r="C177" s="274">
        <v>0</v>
      </c>
      <c r="D177" s="274">
        <v>0</v>
      </c>
      <c r="E177" s="206"/>
      <c r="F177" s="51" t="s">
        <v>454</v>
      </c>
    </row>
    <row r="178" spans="1:6" x14ac:dyDescent="0.25">
      <c r="A178" s="51" t="s">
        <v>120</v>
      </c>
      <c r="B178" s="274">
        <v>0</v>
      </c>
      <c r="C178" s="274">
        <v>0</v>
      </c>
      <c r="D178" s="274">
        <v>0</v>
      </c>
      <c r="E178" s="206"/>
      <c r="F178" s="51" t="s">
        <v>454</v>
      </c>
    </row>
    <row r="179" spans="1:6" x14ac:dyDescent="0.25">
      <c r="A179" s="51" t="s">
        <v>30</v>
      </c>
      <c r="B179" s="274">
        <v>0</v>
      </c>
      <c r="C179" s="274">
        <v>0</v>
      </c>
      <c r="D179" s="274">
        <v>0</v>
      </c>
      <c r="E179" s="206"/>
      <c r="F179" s="51" t="s">
        <v>454</v>
      </c>
    </row>
    <row r="180" spans="1:6" x14ac:dyDescent="0.25">
      <c r="A180" s="51" t="s">
        <v>34</v>
      </c>
      <c r="B180" s="28">
        <f>1-(B177*(1-B$173)+(1-B177))*(B178*(1-B$174)+(1-B178))*(B179*(1-B$175)+(1-B179))</f>
        <v>0</v>
      </c>
      <c r="C180" s="28">
        <f>1-(C177*(1-C$173)+(1-C177))*(C178*(1-C$174)+(1-C178))*(C179*(1-C$175)+(1-C179))</f>
        <v>0</v>
      </c>
      <c r="D180" s="28">
        <f>1-(D177*(1-D$173)+(1-D177))*(D178*(1-D$174)+(1-D178))*(D179*(1-D$175)+(1-D179))</f>
        <v>0</v>
      </c>
      <c r="E180" s="206" t="s">
        <v>399</v>
      </c>
    </row>
    <row r="181" spans="1:6" x14ac:dyDescent="0.25">
      <c r="A181" s="14" t="s">
        <v>32</v>
      </c>
      <c r="B181" s="13"/>
      <c r="C181" s="13"/>
      <c r="D181" s="13"/>
      <c r="E181" s="206"/>
    </row>
    <row r="182" spans="1:6" x14ac:dyDescent="0.25">
      <c r="A182" s="51" t="s">
        <v>118</v>
      </c>
      <c r="B182" s="274">
        <v>0</v>
      </c>
      <c r="C182" s="274">
        <v>0</v>
      </c>
      <c r="D182" s="274">
        <v>0</v>
      </c>
      <c r="E182" s="206"/>
      <c r="F182" s="51" t="s">
        <v>454</v>
      </c>
    </row>
    <row r="183" spans="1:6" x14ac:dyDescent="0.25">
      <c r="A183" s="51" t="s">
        <v>120</v>
      </c>
      <c r="B183" s="274">
        <v>0</v>
      </c>
      <c r="C183" s="274">
        <v>0</v>
      </c>
      <c r="D183" s="274">
        <v>0</v>
      </c>
      <c r="E183" s="206"/>
      <c r="F183" s="51" t="s">
        <v>454</v>
      </c>
    </row>
    <row r="184" spans="1:6" x14ac:dyDescent="0.25">
      <c r="A184" s="51" t="s">
        <v>30</v>
      </c>
      <c r="B184" s="274">
        <v>0</v>
      </c>
      <c r="C184" s="274">
        <v>0</v>
      </c>
      <c r="D184" s="274">
        <v>0</v>
      </c>
      <c r="E184" s="206"/>
      <c r="F184" s="51" t="s">
        <v>454</v>
      </c>
    </row>
    <row r="185" spans="1:6" x14ac:dyDescent="0.25">
      <c r="A185" s="51" t="s">
        <v>35</v>
      </c>
      <c r="B185" s="28">
        <f>1-(B182*(1-B$173)+(1-B182))*(B183*(1-B$174)+(1-B183))*(B184*(1-B$175)+(1-B184))</f>
        <v>0</v>
      </c>
      <c r="C185" s="28">
        <f>1-(C182*(1-C$173)+(1-C182))*(C183*(1-C$174)+(1-C183))*(C184*(1-C$175)+(1-C184))</f>
        <v>0</v>
      </c>
      <c r="D185" s="28">
        <f>1-(D182*(1-D$173)+(1-D182))*(D183*(1-D$174)+(1-D183))*(D184*(1-D$175)+(1-D184))</f>
        <v>0</v>
      </c>
      <c r="E185" s="206" t="s">
        <v>400</v>
      </c>
    </row>
    <row r="186" spans="1:6" x14ac:dyDescent="0.25">
      <c r="A186" s="14" t="s">
        <v>33</v>
      </c>
      <c r="B186" s="13"/>
      <c r="C186" s="13"/>
      <c r="D186" s="13"/>
      <c r="E186" s="206"/>
    </row>
    <row r="187" spans="1:6" x14ac:dyDescent="0.25">
      <c r="A187" s="51" t="s">
        <v>118</v>
      </c>
      <c r="B187" s="274">
        <v>0</v>
      </c>
      <c r="C187" s="274">
        <v>0</v>
      </c>
      <c r="D187" s="274">
        <v>0</v>
      </c>
      <c r="E187" s="206"/>
      <c r="F187" s="51" t="s">
        <v>454</v>
      </c>
    </row>
    <row r="188" spans="1:6" x14ac:dyDescent="0.25">
      <c r="A188" s="51" t="s">
        <v>120</v>
      </c>
      <c r="B188" s="274">
        <v>0</v>
      </c>
      <c r="C188" s="274">
        <v>0</v>
      </c>
      <c r="D188" s="274">
        <v>0</v>
      </c>
      <c r="E188" s="206"/>
      <c r="F188" s="51" t="s">
        <v>454</v>
      </c>
    </row>
    <row r="189" spans="1:6" x14ac:dyDescent="0.25">
      <c r="A189" s="51" t="s">
        <v>30</v>
      </c>
      <c r="B189" s="274">
        <v>0</v>
      </c>
      <c r="C189" s="274">
        <v>0</v>
      </c>
      <c r="D189" s="274">
        <v>0</v>
      </c>
      <c r="E189" s="206"/>
      <c r="F189" s="51" t="s">
        <v>454</v>
      </c>
    </row>
    <row r="190" spans="1:6" x14ac:dyDescent="0.25">
      <c r="A190" s="51" t="s">
        <v>36</v>
      </c>
      <c r="B190" s="28">
        <f>1-(B187*(1-B$173)+(1-B187))*(B188*(1-B$174)+(1-B188))*(B189*(1-B$175)+(1-B189))</f>
        <v>0</v>
      </c>
      <c r="C190" s="28">
        <f>1-(C187*(1-C$173)+(1-C187))*(C188*(1-C$174)+(1-C188))*(C189*(1-C$175)+(1-C189))</f>
        <v>0</v>
      </c>
      <c r="D190" s="28">
        <f>1-(D187*(1-D$173)+(1-D187))*(D188*(1-D$174)+(1-D188))*(D189*(1-D$175)+(1-D189))</f>
        <v>0</v>
      </c>
      <c r="E190" s="206" t="s">
        <v>401</v>
      </c>
    </row>
    <row r="191" spans="1:6" x14ac:dyDescent="0.25">
      <c r="A191" s="51"/>
      <c r="B191" s="51"/>
      <c r="C191" s="51"/>
      <c r="D191" s="51"/>
      <c r="E191" s="51"/>
    </row>
    <row r="192" spans="1:6" x14ac:dyDescent="0.25">
      <c r="A192" s="341" t="s">
        <v>383</v>
      </c>
      <c r="B192" s="341"/>
      <c r="C192" s="341"/>
      <c r="D192" s="341"/>
      <c r="E192" s="341"/>
    </row>
    <row r="193" spans="1:6" x14ac:dyDescent="0.25">
      <c r="A193" s="51" t="s">
        <v>115</v>
      </c>
      <c r="B193" s="274">
        <v>0</v>
      </c>
      <c r="C193" s="274">
        <v>0</v>
      </c>
      <c r="D193" s="274">
        <v>0</v>
      </c>
      <c r="E193" s="51"/>
      <c r="F193" s="51" t="s">
        <v>454</v>
      </c>
    </row>
    <row r="194" spans="1:6" x14ac:dyDescent="0.25">
      <c r="A194" s="51" t="s">
        <v>362</v>
      </c>
      <c r="B194" s="274">
        <v>0</v>
      </c>
      <c r="C194" s="274">
        <v>0</v>
      </c>
      <c r="D194" s="274">
        <v>0</v>
      </c>
      <c r="E194" s="51"/>
      <c r="F194" s="51" t="s">
        <v>454</v>
      </c>
    </row>
    <row r="195" spans="1:6" x14ac:dyDescent="0.25">
      <c r="A195" s="51" t="s">
        <v>37</v>
      </c>
      <c r="B195" s="274">
        <v>0</v>
      </c>
      <c r="C195" s="274">
        <v>0</v>
      </c>
      <c r="D195" s="274">
        <v>0</v>
      </c>
      <c r="E195" s="51"/>
      <c r="F195" s="51" t="s">
        <v>454</v>
      </c>
    </row>
    <row r="196" spans="1:6" x14ac:dyDescent="0.25">
      <c r="A196" s="14" t="s">
        <v>31</v>
      </c>
      <c r="B196" s="13"/>
      <c r="C196" s="13"/>
      <c r="D196" s="13"/>
      <c r="E196" s="51"/>
    </row>
    <row r="197" spans="1:6" x14ac:dyDescent="0.25">
      <c r="A197" s="51" t="s">
        <v>116</v>
      </c>
      <c r="B197" s="274">
        <v>0</v>
      </c>
      <c r="C197" s="274">
        <v>0</v>
      </c>
      <c r="D197" s="274">
        <v>0</v>
      </c>
      <c r="E197" s="206"/>
      <c r="F197" s="51" t="s">
        <v>454</v>
      </c>
    </row>
    <row r="198" spans="1:6" x14ac:dyDescent="0.25">
      <c r="A198" s="51" t="s">
        <v>363</v>
      </c>
      <c r="B198" s="274">
        <v>0</v>
      </c>
      <c r="C198" s="274">
        <v>0</v>
      </c>
      <c r="D198" s="274">
        <v>0</v>
      </c>
      <c r="E198" s="206"/>
      <c r="F198" s="51" t="s">
        <v>454</v>
      </c>
    </row>
    <row r="199" spans="1:6" x14ac:dyDescent="0.25">
      <c r="A199" s="51" t="s">
        <v>38</v>
      </c>
      <c r="B199" s="274">
        <v>0</v>
      </c>
      <c r="C199" s="274">
        <v>0</v>
      </c>
      <c r="D199" s="274">
        <v>0</v>
      </c>
      <c r="E199" s="206"/>
      <c r="F199" s="51" t="s">
        <v>454</v>
      </c>
    </row>
    <row r="200" spans="1:6" x14ac:dyDescent="0.25">
      <c r="A200" s="51" t="s">
        <v>39</v>
      </c>
      <c r="B200" s="28">
        <f>1-(B197*(1-B$193)+(1-B197))*(B198*(1-B$194)+(1-B198))*(B199*(1-B$195)+(1-B199))</f>
        <v>0</v>
      </c>
      <c r="C200" s="28">
        <f>1-(C197*(1-C$193)+(1-C197))*(C198*(1-C$194)+(1-C198))*(C199*(1-C$195)+(1-C199))</f>
        <v>0</v>
      </c>
      <c r="D200" s="28">
        <f>1-(D197*(1-D$193)+(1-D197))*(D198*(1-D$194)+(1-D198))*(D199*(1-D$195)+(1-D199))</f>
        <v>0</v>
      </c>
      <c r="E200" s="206" t="s">
        <v>396</v>
      </c>
    </row>
    <row r="201" spans="1:6" x14ac:dyDescent="0.25">
      <c r="A201" s="14" t="s">
        <v>32</v>
      </c>
      <c r="B201" s="13"/>
      <c r="C201" s="13"/>
      <c r="D201" s="13"/>
      <c r="E201" s="206"/>
    </row>
    <row r="202" spans="1:6" x14ac:dyDescent="0.25">
      <c r="A202" s="51" t="s">
        <v>116</v>
      </c>
      <c r="B202" s="274">
        <v>0</v>
      </c>
      <c r="C202" s="274">
        <v>0</v>
      </c>
      <c r="D202" s="274">
        <v>0</v>
      </c>
      <c r="E202" s="206"/>
      <c r="F202" s="51" t="s">
        <v>454</v>
      </c>
    </row>
    <row r="203" spans="1:6" x14ac:dyDescent="0.25">
      <c r="A203" s="51" t="s">
        <v>363</v>
      </c>
      <c r="B203" s="274">
        <v>0</v>
      </c>
      <c r="C203" s="274">
        <v>0</v>
      </c>
      <c r="D203" s="274">
        <v>0</v>
      </c>
      <c r="E203" s="206"/>
      <c r="F203" s="51" t="s">
        <v>454</v>
      </c>
    </row>
    <row r="204" spans="1:6" x14ac:dyDescent="0.25">
      <c r="A204" s="51" t="s">
        <v>38</v>
      </c>
      <c r="B204" s="274">
        <v>0</v>
      </c>
      <c r="C204" s="274">
        <v>0</v>
      </c>
      <c r="D204" s="274">
        <v>0</v>
      </c>
      <c r="E204" s="206"/>
      <c r="F204" s="51" t="s">
        <v>454</v>
      </c>
    </row>
    <row r="205" spans="1:6" x14ac:dyDescent="0.25">
      <c r="A205" s="51" t="s">
        <v>40</v>
      </c>
      <c r="B205" s="28">
        <f>1-(B202*(1-B$193)+(1-B202))*(B203*(1-B$194)+(1-B203))*(B204*(1-B$195)+(1-B204))</f>
        <v>0</v>
      </c>
      <c r="C205" s="28">
        <f>1-(C202*(1-C$193)+(1-C202))*(C203*(1-C$194)+(1-C203))*(C204*(1-C$195)+(1-C204))</f>
        <v>0</v>
      </c>
      <c r="D205" s="28">
        <f>1-(D202*(1-D$193)+(1-D202))*(D203*(1-D$194)+(1-D203))*(D204*(1-D$195)+(1-D204))</f>
        <v>0</v>
      </c>
      <c r="E205" s="206" t="s">
        <v>397</v>
      </c>
    </row>
    <row r="206" spans="1:6" x14ac:dyDescent="0.25">
      <c r="A206" s="14" t="s">
        <v>33</v>
      </c>
      <c r="B206" s="13"/>
      <c r="C206" s="13"/>
      <c r="D206" s="13"/>
      <c r="E206" s="206"/>
    </row>
    <row r="207" spans="1:6" x14ac:dyDescent="0.25">
      <c r="A207" s="51" t="s">
        <v>116</v>
      </c>
      <c r="B207" s="274">
        <v>0</v>
      </c>
      <c r="C207" s="274">
        <v>0</v>
      </c>
      <c r="D207" s="274">
        <v>0</v>
      </c>
      <c r="E207" s="206"/>
      <c r="F207" s="51" t="s">
        <v>454</v>
      </c>
    </row>
    <row r="208" spans="1:6" x14ac:dyDescent="0.25">
      <c r="A208" s="51" t="s">
        <v>363</v>
      </c>
      <c r="B208" s="274">
        <v>0</v>
      </c>
      <c r="C208" s="274">
        <v>0</v>
      </c>
      <c r="D208" s="274">
        <v>0</v>
      </c>
      <c r="E208" s="206"/>
      <c r="F208" s="51" t="s">
        <v>454</v>
      </c>
    </row>
    <row r="209" spans="1:6" x14ac:dyDescent="0.25">
      <c r="A209" s="51" t="s">
        <v>38</v>
      </c>
      <c r="B209" s="274">
        <v>0</v>
      </c>
      <c r="C209" s="274">
        <v>0</v>
      </c>
      <c r="D209" s="274">
        <v>0</v>
      </c>
      <c r="E209" s="206"/>
      <c r="F209" s="51" t="s">
        <v>454</v>
      </c>
    </row>
    <row r="210" spans="1:6" x14ac:dyDescent="0.25">
      <c r="A210" s="51" t="s">
        <v>41</v>
      </c>
      <c r="B210" s="28">
        <f>1-(B207*(1-B$193)+(1-B207))*(B208*(1-B$194)+(1-B208))*(B209*(1-B$195)+(1-B209))</f>
        <v>0</v>
      </c>
      <c r="C210" s="28">
        <f>1-(C207*(1-C$193)+(1-C207))*(C208*(1-C$194)+(1-C208))*(C209*(1-C$195)+(1-C209))</f>
        <v>0</v>
      </c>
      <c r="D210" s="28">
        <f>1-(D207*(1-D$193)+(1-D207))*(D208*(1-D$194)+(1-D208))*(D209*(1-D$195)+(1-D209))</f>
        <v>0</v>
      </c>
      <c r="E210" s="206" t="s">
        <v>398</v>
      </c>
    </row>
    <row r="211" spans="1:6" x14ac:dyDescent="0.25">
      <c r="A211" s="51"/>
      <c r="B211" s="51"/>
      <c r="C211" s="51"/>
      <c r="D211" s="51"/>
      <c r="E211" s="206"/>
    </row>
    <row r="212" spans="1:6" x14ac:dyDescent="0.25">
      <c r="A212" s="341" t="s">
        <v>381</v>
      </c>
      <c r="B212" s="341"/>
      <c r="C212" s="341"/>
      <c r="D212" s="341"/>
      <c r="E212" s="341"/>
    </row>
    <row r="213" spans="1:6" x14ac:dyDescent="0.25">
      <c r="A213" s="51" t="s">
        <v>43</v>
      </c>
      <c r="B213" s="274">
        <v>0</v>
      </c>
      <c r="C213" s="274">
        <v>0</v>
      </c>
      <c r="D213" s="274">
        <v>0</v>
      </c>
      <c r="E213" s="51"/>
      <c r="F213" s="51" t="s">
        <v>454</v>
      </c>
    </row>
    <row r="214" spans="1:6" x14ac:dyDescent="0.25">
      <c r="A214" s="51" t="s">
        <v>44</v>
      </c>
      <c r="B214" s="274">
        <v>0</v>
      </c>
      <c r="C214" s="274">
        <v>0</v>
      </c>
      <c r="D214" s="274">
        <v>0</v>
      </c>
      <c r="E214" s="51"/>
      <c r="F214" s="51" t="s">
        <v>454</v>
      </c>
    </row>
    <row r="215" spans="1:6" x14ac:dyDescent="0.25">
      <c r="A215" s="51" t="s">
        <v>45</v>
      </c>
      <c r="B215" s="274">
        <v>0</v>
      </c>
      <c r="C215" s="274">
        <v>0</v>
      </c>
      <c r="D215" s="274">
        <v>0</v>
      </c>
      <c r="E215" s="51"/>
      <c r="F215" s="51" t="s">
        <v>454</v>
      </c>
    </row>
    <row r="216" spans="1:6" x14ac:dyDescent="0.25">
      <c r="A216" s="14" t="s">
        <v>31</v>
      </c>
      <c r="B216" s="13"/>
      <c r="C216" s="13"/>
      <c r="D216" s="13"/>
      <c r="E216" s="206"/>
    </row>
    <row r="217" spans="1:6" x14ac:dyDescent="0.25">
      <c r="A217" s="51" t="s">
        <v>46</v>
      </c>
      <c r="B217" s="274">
        <v>0</v>
      </c>
      <c r="C217" s="274">
        <v>0</v>
      </c>
      <c r="D217" s="274">
        <v>0</v>
      </c>
      <c r="E217" s="206"/>
      <c r="F217" s="51" t="s">
        <v>454</v>
      </c>
    </row>
    <row r="218" spans="1:6" x14ac:dyDescent="0.25">
      <c r="A218" s="51" t="s">
        <v>47</v>
      </c>
      <c r="B218" s="274">
        <v>0</v>
      </c>
      <c r="C218" s="274">
        <v>0</v>
      </c>
      <c r="D218" s="274">
        <v>0</v>
      </c>
      <c r="E218" s="206"/>
      <c r="F218" s="51" t="s">
        <v>454</v>
      </c>
    </row>
    <row r="219" spans="1:6" x14ac:dyDescent="0.25">
      <c r="A219" s="51" t="s">
        <v>48</v>
      </c>
      <c r="B219" s="274">
        <v>0</v>
      </c>
      <c r="C219" s="274">
        <v>0</v>
      </c>
      <c r="D219" s="274">
        <v>0</v>
      </c>
      <c r="E219" s="206"/>
      <c r="F219" s="51" t="s">
        <v>454</v>
      </c>
    </row>
    <row r="220" spans="1:6" x14ac:dyDescent="0.25">
      <c r="A220" s="51" t="s">
        <v>49</v>
      </c>
      <c r="B220" s="28">
        <f>1-(B217*(1-B$213)+(1-B217))*(B218*(1-B$214)+(1-B218))*(B219*(1-B$215)+(1-B219))</f>
        <v>0</v>
      </c>
      <c r="C220" s="28">
        <f t="shared" ref="C220:D220" si="3">1-(C217*(1-C$213)+(1-C217))*(C218*(1-C$214)+(1-C218))*(C219*(1-C$215)+(1-C219))</f>
        <v>0</v>
      </c>
      <c r="D220" s="28">
        <f t="shared" si="3"/>
        <v>0</v>
      </c>
      <c r="E220" s="206" t="s">
        <v>393</v>
      </c>
    </row>
    <row r="221" spans="1:6" x14ac:dyDescent="0.25">
      <c r="A221" s="14" t="s">
        <v>32</v>
      </c>
      <c r="B221" s="13"/>
      <c r="C221" s="13"/>
      <c r="D221" s="13"/>
      <c r="E221" s="206"/>
    </row>
    <row r="222" spans="1:6" x14ac:dyDescent="0.25">
      <c r="A222" s="51" t="s">
        <v>46</v>
      </c>
      <c r="B222" s="274">
        <v>0</v>
      </c>
      <c r="C222" s="274">
        <v>0</v>
      </c>
      <c r="D222" s="274">
        <v>0</v>
      </c>
      <c r="E222" s="206"/>
      <c r="F222" s="51" t="s">
        <v>454</v>
      </c>
    </row>
    <row r="223" spans="1:6" x14ac:dyDescent="0.25">
      <c r="A223" s="51" t="s">
        <v>47</v>
      </c>
      <c r="B223" s="274">
        <v>0</v>
      </c>
      <c r="C223" s="274">
        <v>0</v>
      </c>
      <c r="D223" s="274">
        <v>0</v>
      </c>
      <c r="E223" s="206"/>
      <c r="F223" s="51" t="s">
        <v>454</v>
      </c>
    </row>
    <row r="224" spans="1:6" x14ac:dyDescent="0.25">
      <c r="A224" s="51" t="s">
        <v>48</v>
      </c>
      <c r="B224" s="274">
        <v>0</v>
      </c>
      <c r="C224" s="274">
        <v>0</v>
      </c>
      <c r="D224" s="274">
        <v>0</v>
      </c>
      <c r="E224" s="206"/>
      <c r="F224" s="51" t="s">
        <v>454</v>
      </c>
    </row>
    <row r="225" spans="1:6" x14ac:dyDescent="0.25">
      <c r="A225" s="51" t="s">
        <v>50</v>
      </c>
      <c r="B225" s="28">
        <f>1-(B222*(1-B$213)+(1-B222))*(B223*(1-B$214)+(1-B223))*(B224*(1-B$215)+(1-B224))</f>
        <v>0</v>
      </c>
      <c r="C225" s="28">
        <f t="shared" ref="C225" si="4">1-(C222*(1-C$213)+(1-C222))*(C223*(1-C$214)+(1-C223))*(C224*(1-C$215)+(1-C224))</f>
        <v>0</v>
      </c>
      <c r="D225" s="28">
        <f t="shared" ref="D225" si="5">1-(D222*(1-D$213)+(1-D222))*(D223*(1-D$214)+(1-D223))*(D224*(1-D$215)+(1-D224))</f>
        <v>0</v>
      </c>
      <c r="E225" s="206" t="s">
        <v>394</v>
      </c>
    </row>
    <row r="226" spans="1:6" x14ac:dyDescent="0.25">
      <c r="A226" s="14" t="s">
        <v>33</v>
      </c>
      <c r="B226" s="13"/>
      <c r="C226" s="13"/>
      <c r="D226" s="13"/>
      <c r="E226" s="206"/>
    </row>
    <row r="227" spans="1:6" x14ac:dyDescent="0.25">
      <c r="A227" s="51" t="s">
        <v>46</v>
      </c>
      <c r="B227" s="274">
        <v>0</v>
      </c>
      <c r="C227" s="274">
        <v>0</v>
      </c>
      <c r="D227" s="274">
        <v>0</v>
      </c>
      <c r="E227" s="206"/>
      <c r="F227" s="51" t="s">
        <v>454</v>
      </c>
    </row>
    <row r="228" spans="1:6" x14ac:dyDescent="0.25">
      <c r="A228" s="51" t="s">
        <v>47</v>
      </c>
      <c r="B228" s="274">
        <v>0</v>
      </c>
      <c r="C228" s="274">
        <v>0</v>
      </c>
      <c r="D228" s="274">
        <v>0</v>
      </c>
      <c r="E228" s="206"/>
      <c r="F228" s="51" t="s">
        <v>454</v>
      </c>
    </row>
    <row r="229" spans="1:6" x14ac:dyDescent="0.25">
      <c r="A229" s="51" t="s">
        <v>48</v>
      </c>
      <c r="B229" s="274">
        <v>0</v>
      </c>
      <c r="C229" s="274">
        <v>0</v>
      </c>
      <c r="D229" s="274">
        <v>0</v>
      </c>
      <c r="E229" s="206"/>
      <c r="F229" s="51" t="s">
        <v>454</v>
      </c>
    </row>
    <row r="230" spans="1:6" x14ac:dyDescent="0.25">
      <c r="A230" s="51" t="s">
        <v>51</v>
      </c>
      <c r="B230" s="28">
        <f>1-(B227*(1-B$213)+(1-B227))*(B228*(1-B$214)+(1-B228))*(B229*(1-B$215)+(1-B229))</f>
        <v>0</v>
      </c>
      <c r="C230" s="28">
        <f t="shared" ref="C230" si="6">1-(C227*(1-C$213)+(1-C227))*(C228*(1-C$214)+(1-C228))*(C229*(1-C$215)+(1-C229))</f>
        <v>0</v>
      </c>
      <c r="D230" s="28">
        <f t="shared" ref="D230" si="7">1-(D227*(1-D$213)+(1-D227))*(D228*(1-D$214)+(1-D228))*(D229*(1-D$215)+(1-D229))</f>
        <v>0</v>
      </c>
      <c r="E230" s="206" t="s">
        <v>395</v>
      </c>
    </row>
    <row r="231" spans="1:6" s="51" customFormat="1" x14ac:dyDescent="0.25">
      <c r="B231" s="208"/>
      <c r="C231" s="208"/>
      <c r="D231" s="208"/>
      <c r="E231" s="206"/>
    </row>
    <row r="232" spans="1:6" x14ac:dyDescent="0.25">
      <c r="A232" s="340" t="s">
        <v>10</v>
      </c>
      <c r="B232" s="340"/>
      <c r="C232" s="340"/>
      <c r="D232" s="340"/>
      <c r="E232" s="340"/>
      <c r="F232" s="340"/>
    </row>
    <row r="233" spans="1:6" hidden="1" x14ac:dyDescent="0.25"/>
    <row r="234" spans="1:6" hidden="1" x14ac:dyDescent="0.25">
      <c r="A234" t="s">
        <v>277</v>
      </c>
      <c r="B234" s="126">
        <v>45000</v>
      </c>
      <c r="C234" s="132">
        <v>40000</v>
      </c>
      <c r="D234" s="129">
        <v>0</v>
      </c>
      <c r="E234" s="51"/>
      <c r="F234" s="51" t="s">
        <v>242</v>
      </c>
    </row>
    <row r="235" spans="1:6" hidden="1" x14ac:dyDescent="0.25">
      <c r="A235" t="s">
        <v>287</v>
      </c>
      <c r="B235" s="126">
        <v>25000</v>
      </c>
      <c r="C235" s="126">
        <v>20000</v>
      </c>
      <c r="D235" s="129">
        <v>0</v>
      </c>
      <c r="E235" s="51"/>
      <c r="F235" s="51" t="s">
        <v>242</v>
      </c>
    </row>
    <row r="236" spans="1:6" hidden="1" x14ac:dyDescent="0.25">
      <c r="A236" t="s">
        <v>295</v>
      </c>
      <c r="B236" s="126">
        <v>20000</v>
      </c>
      <c r="C236" s="126">
        <v>15000</v>
      </c>
      <c r="D236" s="129">
        <v>0</v>
      </c>
      <c r="E236" s="51"/>
      <c r="F236" s="51" t="s">
        <v>242</v>
      </c>
    </row>
    <row r="237" spans="1:6" hidden="1" x14ac:dyDescent="0.25">
      <c r="B237" s="13"/>
      <c r="C237" s="13"/>
      <c r="D237" s="13"/>
    </row>
    <row r="238" spans="1:6" hidden="1" x14ac:dyDescent="0.25">
      <c r="A238" t="s">
        <v>278</v>
      </c>
      <c r="B238" s="27">
        <v>0.75</v>
      </c>
      <c r="C238" s="27">
        <v>1</v>
      </c>
      <c r="D238" s="21">
        <v>0</v>
      </c>
      <c r="E238" s="51"/>
      <c r="F238" s="51" t="s">
        <v>242</v>
      </c>
    </row>
    <row r="239" spans="1:6" hidden="1" x14ac:dyDescent="0.25">
      <c r="A239" t="s">
        <v>288</v>
      </c>
      <c r="B239" s="27">
        <v>1</v>
      </c>
      <c r="C239" s="27">
        <v>1</v>
      </c>
      <c r="D239" s="21">
        <v>0</v>
      </c>
      <c r="E239" s="51"/>
      <c r="F239" s="51" t="s">
        <v>242</v>
      </c>
    </row>
    <row r="240" spans="1:6" hidden="1" x14ac:dyDescent="0.25">
      <c r="A240" t="s">
        <v>296</v>
      </c>
      <c r="B240" s="27">
        <v>1</v>
      </c>
      <c r="C240" s="27">
        <v>1</v>
      </c>
      <c r="D240" s="21">
        <v>0</v>
      </c>
      <c r="E240" s="51"/>
      <c r="F240" s="51" t="s">
        <v>242</v>
      </c>
    </row>
    <row r="241" spans="1:6" hidden="1" x14ac:dyDescent="0.25">
      <c r="B241" s="13"/>
      <c r="C241" s="13"/>
      <c r="D241" s="13"/>
    </row>
    <row r="242" spans="1:6" hidden="1" x14ac:dyDescent="0.25">
      <c r="A242" t="s">
        <v>279</v>
      </c>
      <c r="B242" s="27">
        <v>0.06</v>
      </c>
      <c r="C242" s="27">
        <v>1</v>
      </c>
      <c r="D242" s="21">
        <v>0</v>
      </c>
      <c r="E242" s="51"/>
      <c r="F242" s="51" t="s">
        <v>242</v>
      </c>
    </row>
    <row r="243" spans="1:6" hidden="1" x14ac:dyDescent="0.25">
      <c r="A243" t="s">
        <v>289</v>
      </c>
      <c r="B243" s="27">
        <v>0.06</v>
      </c>
      <c r="C243" s="27">
        <v>0.84</v>
      </c>
      <c r="D243" s="21">
        <v>0</v>
      </c>
      <c r="E243" s="51"/>
      <c r="F243" s="51" t="s">
        <v>242</v>
      </c>
    </row>
    <row r="244" spans="1:6" hidden="1" x14ac:dyDescent="0.25">
      <c r="A244" t="s">
        <v>297</v>
      </c>
      <c r="B244" s="27">
        <v>0.06</v>
      </c>
      <c r="C244" s="27">
        <v>0.84</v>
      </c>
      <c r="D244" s="21">
        <v>0</v>
      </c>
      <c r="E244" s="51"/>
      <c r="F244" s="51" t="s">
        <v>242</v>
      </c>
    </row>
    <row r="246" spans="1:6" x14ac:dyDescent="0.25">
      <c r="A246" t="s">
        <v>280</v>
      </c>
      <c r="B246" s="126">
        <v>31725</v>
      </c>
      <c r="C246" s="126">
        <v>0</v>
      </c>
      <c r="D246" s="126">
        <v>0</v>
      </c>
      <c r="E246" s="342" t="s">
        <v>164</v>
      </c>
      <c r="F246" s="51" t="s">
        <v>242</v>
      </c>
    </row>
    <row r="247" spans="1:6" x14ac:dyDescent="0.25">
      <c r="A247" t="s">
        <v>287</v>
      </c>
      <c r="B247" s="126">
        <v>23500</v>
      </c>
      <c r="C247" s="126">
        <v>3200.0000000000005</v>
      </c>
      <c r="D247" s="126">
        <v>0</v>
      </c>
      <c r="E247" s="342"/>
      <c r="F247" s="51" t="s">
        <v>242</v>
      </c>
    </row>
    <row r="248" spans="1:6" x14ac:dyDescent="0.25">
      <c r="A248" t="s">
        <v>295</v>
      </c>
      <c r="B248" s="126">
        <v>18800</v>
      </c>
      <c r="C248" s="126">
        <v>2400.0000000000005</v>
      </c>
      <c r="D248" s="126">
        <v>0</v>
      </c>
      <c r="E248" s="342"/>
      <c r="F248" s="51" t="s">
        <v>242</v>
      </c>
    </row>
    <row r="249" spans="1:6" x14ac:dyDescent="0.25">
      <c r="B249" s="131"/>
      <c r="C249" s="131"/>
      <c r="D249" s="131"/>
    </row>
    <row r="250" spans="1:6" x14ac:dyDescent="0.25">
      <c r="A250" t="s">
        <v>281</v>
      </c>
      <c r="B250" s="126">
        <v>10575</v>
      </c>
      <c r="C250" s="126">
        <v>0</v>
      </c>
      <c r="D250" s="126">
        <v>0</v>
      </c>
      <c r="E250" s="342" t="s">
        <v>165</v>
      </c>
      <c r="F250" s="51" t="s">
        <v>242</v>
      </c>
    </row>
    <row r="251" spans="1:6" x14ac:dyDescent="0.25">
      <c r="A251" t="s">
        <v>304</v>
      </c>
      <c r="B251" s="126">
        <v>0</v>
      </c>
      <c r="C251" s="126">
        <v>0</v>
      </c>
      <c r="D251" s="126">
        <v>0</v>
      </c>
      <c r="E251" s="342"/>
      <c r="F251" s="51" t="s">
        <v>242</v>
      </c>
    </row>
    <row r="252" spans="1:6" x14ac:dyDescent="0.25">
      <c r="A252" t="s">
        <v>298</v>
      </c>
      <c r="B252" s="126">
        <v>0</v>
      </c>
      <c r="C252" s="126">
        <v>0</v>
      </c>
      <c r="D252" s="126">
        <v>0</v>
      </c>
      <c r="E252" s="342"/>
      <c r="F252" s="51" t="s">
        <v>242</v>
      </c>
    </row>
    <row r="254" spans="1:6" x14ac:dyDescent="0.25">
      <c r="A254" t="s">
        <v>364</v>
      </c>
      <c r="B254" s="41">
        <v>0.55000000000000004</v>
      </c>
      <c r="C254" s="41">
        <v>0.7</v>
      </c>
      <c r="D254" s="32">
        <v>0</v>
      </c>
      <c r="E254" s="31" t="s">
        <v>166</v>
      </c>
      <c r="F254" s="51" t="s">
        <v>245</v>
      </c>
    </row>
    <row r="255" spans="1:6" x14ac:dyDescent="0.25">
      <c r="A255" t="s">
        <v>365</v>
      </c>
      <c r="B255" s="41">
        <v>0.95</v>
      </c>
      <c r="C255" s="41">
        <v>0.95</v>
      </c>
      <c r="D255" s="32">
        <v>0</v>
      </c>
      <c r="E255" s="342" t="s">
        <v>167</v>
      </c>
      <c r="F255" s="51" t="s">
        <v>238</v>
      </c>
    </row>
    <row r="256" spans="1:6" x14ac:dyDescent="0.25">
      <c r="A256" t="s">
        <v>366</v>
      </c>
      <c r="B256" s="41">
        <v>0.91</v>
      </c>
      <c r="C256" s="41">
        <v>0.91</v>
      </c>
      <c r="D256" s="32">
        <v>0</v>
      </c>
      <c r="E256" s="342"/>
      <c r="F256" s="51" t="s">
        <v>238</v>
      </c>
    </row>
    <row r="257" spans="1:6" x14ac:dyDescent="0.25">
      <c r="A257" t="s">
        <v>367</v>
      </c>
      <c r="B257" s="41">
        <v>0.5</v>
      </c>
      <c r="C257" s="41">
        <v>0.5</v>
      </c>
      <c r="D257" s="32">
        <v>0</v>
      </c>
      <c r="E257" s="342"/>
      <c r="F257" s="51" t="s">
        <v>238</v>
      </c>
    </row>
    <row r="258" spans="1:6" x14ac:dyDescent="0.25">
      <c r="B258" s="31"/>
      <c r="C258" s="31"/>
    </row>
    <row r="259" spans="1:6" x14ac:dyDescent="0.25">
      <c r="A259" t="s">
        <v>282</v>
      </c>
      <c r="B259" s="26">
        <v>71</v>
      </c>
      <c r="C259" s="26">
        <v>74</v>
      </c>
      <c r="D259" s="56">
        <v>0</v>
      </c>
      <c r="E259" s="342" t="s">
        <v>168</v>
      </c>
      <c r="F259" s="51" t="s">
        <v>242</v>
      </c>
    </row>
    <row r="260" spans="1:6" x14ac:dyDescent="0.25">
      <c r="A260" t="s">
        <v>290</v>
      </c>
      <c r="B260" s="26">
        <v>51</v>
      </c>
      <c r="C260" s="26">
        <v>45</v>
      </c>
      <c r="D260" s="56">
        <v>0</v>
      </c>
      <c r="E260" s="342"/>
      <c r="F260" s="51" t="s">
        <v>242</v>
      </c>
    </row>
    <row r="261" spans="1:6" x14ac:dyDescent="0.25">
      <c r="A261" t="s">
        <v>299</v>
      </c>
      <c r="B261" s="26">
        <v>30</v>
      </c>
      <c r="C261" s="26">
        <v>30</v>
      </c>
      <c r="D261" s="56">
        <v>0</v>
      </c>
      <c r="E261" s="342"/>
      <c r="F261" s="51" t="s">
        <v>242</v>
      </c>
    </row>
    <row r="262" spans="1:6" x14ac:dyDescent="0.25">
      <c r="B262" s="31"/>
      <c r="C262" s="31"/>
    </row>
    <row r="263" spans="1:6" x14ac:dyDescent="0.25">
      <c r="A263" s="33" t="s">
        <v>368</v>
      </c>
      <c r="B263" s="41">
        <v>0.09</v>
      </c>
      <c r="C263" s="41">
        <v>0.05</v>
      </c>
      <c r="D263" s="270">
        <f>Surf_Mat_Silt_UR_CR</f>
        <v>0.09</v>
      </c>
      <c r="E263" s="31" t="s">
        <v>356</v>
      </c>
      <c r="F263" s="51" t="s">
        <v>258</v>
      </c>
    </row>
    <row r="264" spans="1:6" x14ac:dyDescent="0.25">
      <c r="A264" s="33" t="s">
        <v>355</v>
      </c>
      <c r="B264" s="26">
        <v>5</v>
      </c>
      <c r="C264" s="26">
        <v>5</v>
      </c>
      <c r="D264" s="271">
        <f>Surf_Mat_Silt_PR_CR</f>
        <v>5</v>
      </c>
      <c r="E264" s="194" t="s">
        <v>357</v>
      </c>
      <c r="F264" s="51" t="s">
        <v>361</v>
      </c>
    </row>
    <row r="265" spans="1:6" s="51" customFormat="1" x14ac:dyDescent="0.25">
      <c r="B265" s="194"/>
      <c r="C265" s="194"/>
    </row>
    <row r="266" spans="1:6" x14ac:dyDescent="0.25">
      <c r="A266" s="15" t="s">
        <v>66</v>
      </c>
      <c r="B266" s="211">
        <v>7.5999999999999998E-2</v>
      </c>
      <c r="C266" s="211">
        <v>7.5999999999999998E-2</v>
      </c>
      <c r="D266" s="211">
        <v>7.5999999999999998E-2</v>
      </c>
      <c r="E266" s="342" t="s">
        <v>169</v>
      </c>
      <c r="F266" s="51" t="s">
        <v>121</v>
      </c>
    </row>
    <row r="267" spans="1:6" x14ac:dyDescent="0.25">
      <c r="A267" s="15" t="s">
        <v>67</v>
      </c>
      <c r="B267" s="211">
        <v>3.7999999999999999E-2</v>
      </c>
      <c r="C267" s="211">
        <v>3.7999999999999999E-2</v>
      </c>
      <c r="D267" s="211">
        <v>3.7999999999999999E-2</v>
      </c>
      <c r="E267" s="342"/>
      <c r="F267" s="51" t="s">
        <v>121</v>
      </c>
    </row>
    <row r="268" spans="1:6" x14ac:dyDescent="0.25">
      <c r="A268" s="15" t="s">
        <v>68</v>
      </c>
      <c r="B268" s="211">
        <v>2.052E-2</v>
      </c>
      <c r="C268" s="211">
        <v>2.052E-2</v>
      </c>
      <c r="D268" s="211">
        <v>2.052E-2</v>
      </c>
      <c r="E268" s="342"/>
      <c r="F268" s="51" t="s">
        <v>121</v>
      </c>
    </row>
    <row r="270" spans="1:6" x14ac:dyDescent="0.25">
      <c r="A270" s="340" t="s">
        <v>11</v>
      </c>
      <c r="B270" s="340"/>
      <c r="C270" s="340"/>
      <c r="D270" s="340"/>
      <c r="E270" s="340"/>
      <c r="F270" s="340"/>
    </row>
    <row r="272" spans="1:6" x14ac:dyDescent="0.25">
      <c r="A272" t="s">
        <v>76</v>
      </c>
      <c r="B272" s="41">
        <v>0.02</v>
      </c>
      <c r="C272" s="41">
        <v>0.06</v>
      </c>
      <c r="D272" s="44">
        <f>Moisture_CR</f>
        <v>0.02</v>
      </c>
      <c r="E272" s="31" t="s">
        <v>170</v>
      </c>
      <c r="F272" s="51" t="s">
        <v>228</v>
      </c>
    </row>
    <row r="273" spans="1:6" x14ac:dyDescent="0.25">
      <c r="A273" t="s">
        <v>77</v>
      </c>
      <c r="B273" s="26">
        <v>2</v>
      </c>
      <c r="C273" s="26">
        <v>2</v>
      </c>
      <c r="D273" s="271">
        <f>NB_Hand_Oper_CR</f>
        <v>2</v>
      </c>
      <c r="E273" s="31" t="s">
        <v>178</v>
      </c>
      <c r="F273" s="51" t="s">
        <v>249</v>
      </c>
    </row>
    <row r="275" spans="1:6" x14ac:dyDescent="0.25">
      <c r="A275" t="s">
        <v>78</v>
      </c>
      <c r="B275" s="212">
        <f>0.74*0.0016</f>
        <v>1.1839999999999999E-3</v>
      </c>
      <c r="C275" s="212">
        <f>0.74*0.0016</f>
        <v>1.1839999999999999E-3</v>
      </c>
      <c r="D275" s="212">
        <f>0.74*0.0016</f>
        <v>1.1839999999999999E-3</v>
      </c>
      <c r="E275" s="342" t="s">
        <v>171</v>
      </c>
      <c r="F275" s="51" t="s">
        <v>247</v>
      </c>
    </row>
    <row r="276" spans="1:6" x14ac:dyDescent="0.25">
      <c r="A276" t="s">
        <v>79</v>
      </c>
      <c r="B276" s="212">
        <f>0.35*0.0016</f>
        <v>5.5999999999999995E-4</v>
      </c>
      <c r="C276" s="212">
        <f>0.35*0.0016</f>
        <v>5.5999999999999995E-4</v>
      </c>
      <c r="D276" s="212">
        <f>0.35*0.0016</f>
        <v>5.5999999999999995E-4</v>
      </c>
      <c r="E276" s="342"/>
      <c r="F276" s="51" t="s">
        <v>247</v>
      </c>
    </row>
    <row r="277" spans="1:6" x14ac:dyDescent="0.25">
      <c r="A277" t="s">
        <v>80</v>
      </c>
      <c r="B277" s="212">
        <f>0.053*0.0016</f>
        <v>8.4800000000000001E-5</v>
      </c>
      <c r="C277" s="212">
        <f>0.053*0.0016</f>
        <v>8.4800000000000001E-5</v>
      </c>
      <c r="D277" s="212">
        <f>0.053*0.0016</f>
        <v>8.4800000000000001E-5</v>
      </c>
      <c r="E277" s="342"/>
      <c r="F277" s="51" t="s">
        <v>247</v>
      </c>
    </row>
    <row r="279" spans="1:6" x14ac:dyDescent="0.25">
      <c r="A279" s="340" t="s">
        <v>12</v>
      </c>
      <c r="B279" s="340"/>
      <c r="C279" s="340"/>
      <c r="D279" s="340"/>
      <c r="E279" s="340"/>
      <c r="F279" s="340"/>
    </row>
    <row r="281" spans="1:6" x14ac:dyDescent="0.25">
      <c r="A281" t="s">
        <v>81</v>
      </c>
      <c r="B281" s="214">
        <v>30</v>
      </c>
      <c r="C281" s="214">
        <v>30</v>
      </c>
      <c r="D281" s="214">
        <v>30</v>
      </c>
      <c r="E281" s="31" t="s">
        <v>172</v>
      </c>
      <c r="F281" s="51" t="s">
        <v>371</v>
      </c>
    </row>
    <row r="282" spans="1:6" x14ac:dyDescent="0.25">
      <c r="B282" s="133"/>
      <c r="C282" s="133"/>
      <c r="D282" s="133"/>
      <c r="E282" s="31"/>
    </row>
    <row r="283" spans="1:6" x14ac:dyDescent="0.25">
      <c r="A283" t="s">
        <v>348</v>
      </c>
      <c r="B283" s="214">
        <v>4</v>
      </c>
      <c r="C283" s="214">
        <v>4</v>
      </c>
      <c r="D283" s="214">
        <v>4</v>
      </c>
      <c r="E283" s="342" t="s">
        <v>369</v>
      </c>
      <c r="F283" s="51" t="s">
        <v>371</v>
      </c>
    </row>
    <row r="284" spans="1:6" s="51" customFormat="1" x14ac:dyDescent="0.25">
      <c r="A284" s="51" t="s">
        <v>349</v>
      </c>
      <c r="B284" s="214">
        <v>8</v>
      </c>
      <c r="C284" s="214">
        <v>8</v>
      </c>
      <c r="D284" s="214">
        <v>8</v>
      </c>
      <c r="E284" s="342"/>
      <c r="F284" s="51" t="s">
        <v>371</v>
      </c>
    </row>
    <row r="285" spans="1:6" s="51" customFormat="1" x14ac:dyDescent="0.25">
      <c r="A285" s="51" t="s">
        <v>350</v>
      </c>
      <c r="B285" s="214">
        <v>26</v>
      </c>
      <c r="C285" s="214">
        <v>26</v>
      </c>
      <c r="D285" s="214">
        <v>26</v>
      </c>
      <c r="E285" s="342"/>
      <c r="F285" s="51" t="s">
        <v>371</v>
      </c>
    </row>
    <row r="286" spans="1:6" x14ac:dyDescent="0.25">
      <c r="B286" s="133"/>
      <c r="C286" s="133"/>
      <c r="D286" s="133"/>
      <c r="E286" s="31"/>
    </row>
    <row r="287" spans="1:6" x14ac:dyDescent="0.25">
      <c r="A287" s="205" t="s">
        <v>283</v>
      </c>
      <c r="B287" s="189">
        <f>(Std_Prod_LQ_CR*1000*Weeks_stored_LQ_CR/52)/(Stockpile_V_LQ_CR*Density_stockpiles_CR)</f>
        <v>19.894367886486915</v>
      </c>
      <c r="C287" s="189">
        <f>(Std_Prod_LQ_SG*1000*Weeks_stored_LQ_SG/52)/(Stockpile_V_LQ_SG*Density_stockpiles_SG)</f>
        <v>11.541283934147856</v>
      </c>
      <c r="D287" s="189">
        <f>(Std_Prod_LQ_RA*1000*Weeks_stored_LQ_RA/52)/(Stockpile_V_LQ_RA*Density_stockpiles_RA)</f>
        <v>19.894367886486915</v>
      </c>
      <c r="E287" s="342"/>
    </row>
    <row r="288" spans="1:6" x14ac:dyDescent="0.25">
      <c r="A288" s="205" t="s">
        <v>291</v>
      </c>
      <c r="B288" s="189">
        <f>(Std_Prod_MQ_CR*1000*Weeks_stored_MQ_CR/52)/(Stockpile_V_MQ_CR*Density_stockpiles_CR)</f>
        <v>7.5548232480330055</v>
      </c>
      <c r="C288" s="189">
        <f>(Std_Prod_MQ_SG*1000*Weeks_stored_MQ_SG/52)/(Stockpile_V_MQ_SG*Density_stockpiles_SG)</f>
        <v>4.9228225311531144</v>
      </c>
      <c r="D288" s="189">
        <f>(Std_Prod_MQ_RA*1000*Weeks_stored_MQ_RA/52)/(Stockpile_V_MQ_RA*Density_stockpiles_RA)</f>
        <v>6.4895451058291611</v>
      </c>
      <c r="E288" s="342"/>
    </row>
    <row r="289" spans="1:6" x14ac:dyDescent="0.25">
      <c r="A289" s="205" t="s">
        <v>300</v>
      </c>
      <c r="B289" s="189">
        <f>(Std_Prod_SQ_CR*1000*Weeks_stored_SQ_CR/52)/(Stockpile_V_SQ_CR*Density_stockpiles_CR)</f>
        <v>5.5157370680544275</v>
      </c>
      <c r="C289" s="189">
        <f>(Std_Prod_SQ_SG*1000*Weeks_stored_SQ_SG/52)/(Stockpile_V_SQ_SG*Density_stockpiles_SG)</f>
        <v>7.4193968148093363</v>
      </c>
      <c r="D289" s="189">
        <f>(Std_Prod_SQ_RA*1000*Weeks_stored_SQ_RA/52)/(Stockpile_V_SQ_RA*Density_stockpiles_RA)</f>
        <v>4.2182043187889544</v>
      </c>
      <c r="E289" s="342"/>
    </row>
    <row r="290" spans="1:6" s="51" customFormat="1" x14ac:dyDescent="0.25">
      <c r="A290" s="205" t="s">
        <v>285</v>
      </c>
      <c r="B290" s="214">
        <v>10</v>
      </c>
      <c r="C290" s="214">
        <v>10</v>
      </c>
      <c r="D290" s="214">
        <v>10</v>
      </c>
      <c r="E290" s="342" t="s">
        <v>351</v>
      </c>
      <c r="F290" s="51" t="s">
        <v>371</v>
      </c>
    </row>
    <row r="291" spans="1:6" s="51" customFormat="1" x14ac:dyDescent="0.25">
      <c r="A291" s="51" t="s">
        <v>293</v>
      </c>
      <c r="B291" s="214">
        <v>10</v>
      </c>
      <c r="C291" s="214">
        <v>10</v>
      </c>
      <c r="D291" s="214">
        <v>10</v>
      </c>
      <c r="E291" s="342"/>
      <c r="F291" s="51" t="s">
        <v>371</v>
      </c>
    </row>
    <row r="292" spans="1:6" s="51" customFormat="1" x14ac:dyDescent="0.25">
      <c r="A292" s="51" t="s">
        <v>302</v>
      </c>
      <c r="B292" s="214">
        <v>10</v>
      </c>
      <c r="C292" s="214">
        <v>10</v>
      </c>
      <c r="D292" s="214">
        <v>10</v>
      </c>
      <c r="E292" s="342"/>
      <c r="F292" s="51" t="s">
        <v>371</v>
      </c>
    </row>
    <row r="293" spans="1:6" s="51" customFormat="1" x14ac:dyDescent="0.25">
      <c r="A293" s="51" t="s">
        <v>352</v>
      </c>
      <c r="B293" s="189">
        <f>Stockpile_H_LQ_CR/TAN(RADIANS(Angle_CR))</f>
        <v>17.320508075688775</v>
      </c>
      <c r="C293" s="189">
        <f>Stockpile_H_LQ_SG/TAN(RADIANS(Angle_SG))</f>
        <v>17.320508075688775</v>
      </c>
      <c r="D293" s="189">
        <f>Stockpile_H_LQ_RA/TAN(RADIANS(Angle_RA))</f>
        <v>17.320508075688775</v>
      </c>
      <c r="E293" s="193"/>
    </row>
    <row r="294" spans="1:6" s="51" customFormat="1" x14ac:dyDescent="0.25">
      <c r="A294" s="51" t="s">
        <v>353</v>
      </c>
      <c r="B294" s="189">
        <f>Stockpile_H_MQ_CR/TAN(RADIANS(Angle_CR))</f>
        <v>17.320508075688775</v>
      </c>
      <c r="C294" s="189">
        <f>Stockpile_H_MQ_SG/TAN(RADIANS(Angle_SG))</f>
        <v>17.320508075688775</v>
      </c>
      <c r="D294" s="189">
        <f>Stockpile_H_MQ_RA/TAN(RADIANS(Angle_RA))</f>
        <v>17.320508075688775</v>
      </c>
      <c r="E294" s="193"/>
    </row>
    <row r="295" spans="1:6" s="51" customFormat="1" x14ac:dyDescent="0.25">
      <c r="A295" s="51" t="s">
        <v>354</v>
      </c>
      <c r="B295" s="189">
        <f>Stockpile_H_SQ_CR/TAN(RADIANS(Angle_CR))</f>
        <v>17.320508075688775</v>
      </c>
      <c r="C295" s="189">
        <f>Stockpile_H_SQ_SG/TAN(RADIANS(Angle_SG))</f>
        <v>17.320508075688775</v>
      </c>
      <c r="D295" s="189">
        <f>Stockpile_H_SQ_RA/TAN(RADIANS(Angle_RA))</f>
        <v>17.320508075688775</v>
      </c>
      <c r="E295" s="193"/>
    </row>
    <row r="296" spans="1:6" s="51" customFormat="1" x14ac:dyDescent="0.25">
      <c r="A296" s="51" t="s">
        <v>284</v>
      </c>
      <c r="B296" s="130">
        <f>1/3*PI()*Stockpile_H_LQ_CR^3/(TAN(RADIANS(Angle_CR)))^2</f>
        <v>3141.5926535897934</v>
      </c>
      <c r="C296" s="130">
        <f>1/3*PI()*Stockpile_H_LQ_SG^3/(TAN(RADIANS(Angle_SG)))^2</f>
        <v>3141.5926535897934</v>
      </c>
      <c r="D296" s="130">
        <f>1/3*PI()*Stockpile_H_LQ_RA^3/(TAN(RADIANS(Angle_RA)))^2</f>
        <v>3141.5926535897934</v>
      </c>
    </row>
    <row r="297" spans="1:6" s="51" customFormat="1" x14ac:dyDescent="0.25">
      <c r="A297" s="51" t="s">
        <v>292</v>
      </c>
      <c r="B297" s="130">
        <f>1/3*PI()*Stockpile_H_MQ_CR^3/(TAN(RADIANS(Angle_CR)))^2</f>
        <v>3141.5926535897934</v>
      </c>
      <c r="C297" s="130">
        <f>1/3*PI()*Stockpile_H_MQ_SG^3/(TAN(RADIANS(Angle_SG)))^2</f>
        <v>3141.5926535897934</v>
      </c>
      <c r="D297" s="130">
        <f>1/3*PI()*Stockpile_H_MQ_RA^3/(TAN(RADIANS(Angle_RA)))^2</f>
        <v>3141.5926535897934</v>
      </c>
    </row>
    <row r="298" spans="1:6" s="51" customFormat="1" x14ac:dyDescent="0.25">
      <c r="A298" s="51" t="s">
        <v>301</v>
      </c>
      <c r="B298" s="130">
        <f>1/3*PI()*Stockpile_H_SQ_CR^3/(TAN(RADIANS(Angle_CR)))^2</f>
        <v>3141.5926535897934</v>
      </c>
      <c r="C298" s="130">
        <f>1/3*PI()*Stockpile_H_SQ_SG^3/(TAN(RADIANS(Angle_SG)))^2</f>
        <v>3141.5926535897934</v>
      </c>
      <c r="D298" s="130">
        <f>1/3*PI()*Stockpile_H_SQ_RA^3/(TAN(RADIANS(Angle_RA)))^2</f>
        <v>3141.5926535897934</v>
      </c>
    </row>
    <row r="299" spans="1:6" s="51" customFormat="1" x14ac:dyDescent="0.25">
      <c r="A299" s="51" t="s">
        <v>286</v>
      </c>
      <c r="B299" s="130">
        <f>PI()*B293*SQRT(B293^2+Stockpile_H_LQ_CR^2)</f>
        <v>1088.2796185405307</v>
      </c>
      <c r="C299" s="130">
        <f>PI()*C293*SQRT(C293^2+Stockpile_H_LQ_SG^2)</f>
        <v>1088.2796185405307</v>
      </c>
      <c r="D299" s="130">
        <f>PI()*D293*SQRT(D293^2+Stockpile_H_LQ_RA^2)</f>
        <v>1088.2796185405307</v>
      </c>
      <c r="E299" s="342" t="s">
        <v>173</v>
      </c>
    </row>
    <row r="300" spans="1:6" s="51" customFormat="1" x14ac:dyDescent="0.25">
      <c r="A300" s="51" t="s">
        <v>294</v>
      </c>
      <c r="B300" s="130">
        <f>PI()*B294*SQRT(B294^2+Stockpile_H_MQ_CR^2)</f>
        <v>1088.2796185405307</v>
      </c>
      <c r="C300" s="130">
        <f>PI()*C294*SQRT(C294^2+Stockpile_H_MQ_SG^2)</f>
        <v>1088.2796185405307</v>
      </c>
      <c r="D300" s="130">
        <f>PI()*D294*SQRT(D294^2+Stockpile_H_MQ_RA^2)</f>
        <v>1088.2796185405307</v>
      </c>
      <c r="E300" s="342"/>
    </row>
    <row r="301" spans="1:6" s="51" customFormat="1" x14ac:dyDescent="0.25">
      <c r="A301" s="51" t="s">
        <v>303</v>
      </c>
      <c r="B301" s="130">
        <f>PI()*B295*SQRT(B295^2+Stockpile_H_SQ_CR^2)</f>
        <v>1088.2796185405307</v>
      </c>
      <c r="C301" s="130">
        <f>PI()*C295*SQRT(C295^2+Stockpile_H_SQ_SG^2)</f>
        <v>1088.2796185405307</v>
      </c>
      <c r="D301" s="130">
        <f>PI()*D295*SQRT(D295^2+Stockpile_H_SQ_RA^2)</f>
        <v>1088.2796185405307</v>
      </c>
      <c r="E301" s="342"/>
    </row>
    <row r="302" spans="1:6" x14ac:dyDescent="0.25">
      <c r="B302" s="133"/>
      <c r="C302" s="133"/>
      <c r="D302" s="133"/>
    </row>
    <row r="303" spans="1:6" x14ac:dyDescent="0.25">
      <c r="A303" t="s">
        <v>122</v>
      </c>
      <c r="B303" s="214">
        <v>1.6</v>
      </c>
      <c r="C303" s="214">
        <v>1.6</v>
      </c>
      <c r="D303" s="214">
        <v>1.6</v>
      </c>
      <c r="E303" s="31" t="s">
        <v>174</v>
      </c>
      <c r="F303" s="51" t="s">
        <v>254</v>
      </c>
    </row>
    <row r="304" spans="1:6" x14ac:dyDescent="0.25">
      <c r="B304" s="133"/>
      <c r="C304" s="133"/>
      <c r="D304" s="133"/>
    </row>
    <row r="305" spans="1:6" x14ac:dyDescent="0.25">
      <c r="A305" t="s">
        <v>106</v>
      </c>
      <c r="B305" s="212">
        <f>1.12*10^-4*1.7</f>
        <v>1.9040000000000002E-4</v>
      </c>
      <c r="C305" s="212">
        <f>1.12*10^-4*1.7</f>
        <v>1.9040000000000002E-4</v>
      </c>
      <c r="D305" s="212">
        <f>1.12*10^-4*1.7</f>
        <v>1.9040000000000002E-4</v>
      </c>
      <c r="E305" s="31" t="s">
        <v>175</v>
      </c>
      <c r="F305" s="51" t="s">
        <v>247</v>
      </c>
    </row>
    <row r="306" spans="1:6" x14ac:dyDescent="0.25">
      <c r="A306" t="s">
        <v>107</v>
      </c>
      <c r="B306" s="227">
        <v>1</v>
      </c>
      <c r="C306" s="227">
        <v>1</v>
      </c>
      <c r="D306" s="227">
        <v>1</v>
      </c>
      <c r="E306" s="342" t="s">
        <v>176</v>
      </c>
      <c r="F306" s="51" t="s">
        <v>247</v>
      </c>
    </row>
    <row r="307" spans="1:6" x14ac:dyDescent="0.25">
      <c r="A307" t="s">
        <v>108</v>
      </c>
      <c r="B307" s="226">
        <v>0.5</v>
      </c>
      <c r="C307" s="226">
        <v>0.5</v>
      </c>
      <c r="D307" s="226">
        <v>0.5</v>
      </c>
      <c r="E307" s="342"/>
      <c r="F307" s="51" t="s">
        <v>247</v>
      </c>
    </row>
    <row r="308" spans="1:6" x14ac:dyDescent="0.25">
      <c r="A308" t="s">
        <v>109</v>
      </c>
      <c r="B308" s="226">
        <v>0.2</v>
      </c>
      <c r="C308" s="226">
        <v>0.2</v>
      </c>
      <c r="D308" s="226">
        <v>0.2</v>
      </c>
      <c r="E308" s="342"/>
      <c r="F308" s="51" t="s">
        <v>247</v>
      </c>
    </row>
    <row r="309" spans="1:6" x14ac:dyDescent="0.25">
      <c r="B309" s="133"/>
      <c r="C309" s="133"/>
      <c r="D309" s="133"/>
    </row>
    <row r="310" spans="1:6" x14ac:dyDescent="0.25">
      <c r="A310" t="s">
        <v>110</v>
      </c>
      <c r="B310" s="273">
        <v>1.6E-2</v>
      </c>
      <c r="C310" s="273">
        <v>8.0000000000000002E-3</v>
      </c>
      <c r="D310" s="272">
        <f>Silt_Content_Stockpiles_CR</f>
        <v>1.6E-2</v>
      </c>
      <c r="E310" s="51" t="s">
        <v>177</v>
      </c>
      <c r="F310" s="51" t="s">
        <v>228</v>
      </c>
    </row>
    <row r="331" spans="1:1" hidden="1" x14ac:dyDescent="0.25">
      <c r="A331" s="51" t="s">
        <v>412</v>
      </c>
    </row>
    <row r="332" spans="1:1" hidden="1" x14ac:dyDescent="0.25">
      <c r="A332" s="51" t="s">
        <v>409</v>
      </c>
    </row>
    <row r="333" spans="1:1" hidden="1" x14ac:dyDescent="0.25">
      <c r="A333" t="s">
        <v>410</v>
      </c>
    </row>
    <row r="334" spans="1:1" hidden="1" x14ac:dyDescent="0.25">
      <c r="A334" t="s">
        <v>411</v>
      </c>
    </row>
  </sheetData>
  <mergeCells count="36">
    <mergeCell ref="E7:E9"/>
    <mergeCell ref="E255:E257"/>
    <mergeCell ref="E74:E76"/>
    <mergeCell ref="A152:E152"/>
    <mergeCell ref="A232:F232"/>
    <mergeCell ref="B31:D31"/>
    <mergeCell ref="E275:E277"/>
    <mergeCell ref="E12:E14"/>
    <mergeCell ref="E18:E20"/>
    <mergeCell ref="E44:E46"/>
    <mergeCell ref="E48:E50"/>
    <mergeCell ref="E54:E56"/>
    <mergeCell ref="A52:F52"/>
    <mergeCell ref="A132:E132"/>
    <mergeCell ref="A84:E84"/>
    <mergeCell ref="E62:E64"/>
    <mergeCell ref="E66:E68"/>
    <mergeCell ref="E70:E72"/>
    <mergeCell ref="A212:E212"/>
    <mergeCell ref="E58:E60"/>
    <mergeCell ref="E78:E80"/>
    <mergeCell ref="A172:E172"/>
    <mergeCell ref="E283:E285"/>
    <mergeCell ref="E299:E301"/>
    <mergeCell ref="E306:E308"/>
    <mergeCell ref="E287:E289"/>
    <mergeCell ref="A279:F279"/>
    <mergeCell ref="E290:E292"/>
    <mergeCell ref="A270:F270"/>
    <mergeCell ref="A112:E112"/>
    <mergeCell ref="A98:E98"/>
    <mergeCell ref="E246:E248"/>
    <mergeCell ref="E250:E252"/>
    <mergeCell ref="E259:E261"/>
    <mergeCell ref="E266:E268"/>
    <mergeCell ref="A192:E192"/>
  </mergeCells>
  <conditionalFormatting sqref="B37:D39">
    <cfRule type="expression" dxfId="9" priority="44">
      <formula>B37="-"</formula>
    </cfRule>
  </conditionalFormatting>
  <conditionalFormatting sqref="C33:D35">
    <cfRule type="expression" dxfId="8" priority="43">
      <formula>C33="-"</formula>
    </cfRule>
  </conditionalFormatting>
  <conditionalFormatting sqref="C41:D41">
    <cfRule type="expression" dxfId="7" priority="42">
      <formula>C41="-"</formula>
    </cfRule>
  </conditionalFormatting>
  <conditionalFormatting sqref="C44:D46">
    <cfRule type="expression" dxfId="6" priority="41">
      <formula>C44="-"</formula>
    </cfRule>
  </conditionalFormatting>
  <conditionalFormatting sqref="C48:D50">
    <cfRule type="expression" dxfId="5" priority="40">
      <formula>C48="-"</formula>
    </cfRule>
  </conditionalFormatting>
  <conditionalFormatting sqref="B31:D31">
    <cfRule type="expression" dxfId="4" priority="39">
      <formula>$B$31=""</formula>
    </cfRule>
  </conditionalFormatting>
  <conditionalFormatting sqref="C42:D42">
    <cfRule type="expression" dxfId="3" priority="36">
      <formula>C42="-"</formula>
    </cfRule>
  </conditionalFormatting>
  <conditionalFormatting sqref="B41:B42">
    <cfRule type="expression" dxfId="2" priority="393">
      <formula>OR($B$31=$A$333,$B$31=$A$334)</formula>
    </cfRule>
    <cfRule type="expression" dxfId="1" priority="394">
      <formula>OR($B$31=$A$332,$B$31=$A$331)</formula>
    </cfRule>
  </conditionalFormatting>
  <conditionalFormatting sqref="B310:D310 B303:D303 B290:D292 B283:D285 B281:D281 B272:D273 B259:D261 B254:D257 B250:D252 B246:D248 B234:D236 B90:D91 B94:D95 B100:D102 B104:D106 B108:D110 B113:D115 B117:D119 B122:D124 B127:D129 B133:D135 B137:D139 B142:D144 B147:D149 B153:D155 B227:D229 B86:D87 B24:D26 B12:D14 B7:D9 B4:D4 B78:D80 B18:D20 B82:D82 B263:D264 B222:D224 B217:D219 B213:D215 B207:D209 B202:D204 B197:D199 B193:D195 B187:D189 B182:D184 B177:D179 B173:D175 B167:D169 B162:D164 B157:D159">
    <cfRule type="expression" dxfId="0" priority="5">
      <formula>B4=#REF!</formula>
    </cfRule>
  </conditionalFormatting>
  <dataValidations disablePrompts="1" count="1">
    <dataValidation type="list" showInputMessage="1" showErrorMessage="1" sqref="B31">
      <formula1>$A$331:$A$334</formula1>
    </dataValidation>
  </dataValidations>
  <pageMargins left="0.23622047244094491" right="0.23622047244094491" top="0.74803149606299213" bottom="0.74803149606299213" header="0.31496062992125984" footer="0.31496062992125984"/>
  <pageSetup paperSize="9" orientation="landscape" r:id="rId1"/>
  <rowBreaks count="10" manualBreakCount="10">
    <brk id="28" max="16383" man="1"/>
    <brk id="51" max="16383" man="1"/>
    <brk id="131" max="16383" man="1"/>
    <brk id="151" max="16383" man="1"/>
    <brk id="171" max="16383" man="1"/>
    <brk id="191" max="16383" man="1"/>
    <brk id="211" max="16383" man="1"/>
    <brk id="231" max="16383" man="1"/>
    <brk id="258" max="16383" man="1"/>
    <brk id="27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FFFF00"/>
  </sheetPr>
  <dimension ref="A1:Y99"/>
  <sheetViews>
    <sheetView workbookViewId="0">
      <pane ySplit="2" topLeftCell="A3" activePane="bottomLeft" state="frozen"/>
      <selection pane="bottomLeft" activeCell="A2" sqref="A2"/>
    </sheetView>
  </sheetViews>
  <sheetFormatPr baseColWidth="10" defaultRowHeight="15" x14ac:dyDescent="0.25"/>
  <cols>
    <col min="2" max="2" width="13" style="50" customWidth="1"/>
    <col min="3" max="20" width="12.85546875" style="50" customWidth="1"/>
    <col min="21" max="21" width="12.85546875" customWidth="1"/>
    <col min="22" max="22" width="26.42578125" customWidth="1"/>
    <col min="23" max="23" width="21" customWidth="1"/>
    <col min="24" max="24" width="17.5703125" customWidth="1"/>
    <col min="25" max="25" width="11.42578125" customWidth="1"/>
  </cols>
  <sheetData>
    <row r="1" spans="1:25" s="51" customFormat="1" ht="15.75" thickBot="1" x14ac:dyDescent="0.3">
      <c r="B1" s="275" t="s">
        <v>455</v>
      </c>
      <c r="C1" s="276">
        <f>SUM(C3:C98)</f>
        <v>1</v>
      </c>
      <c r="D1" s="276">
        <f t="shared" ref="D1:T1" si="0">SUM(D3:D98)</f>
        <v>1</v>
      </c>
      <c r="E1" s="276">
        <f t="shared" si="0"/>
        <v>1</v>
      </c>
      <c r="F1" s="276">
        <f t="shared" si="0"/>
        <v>1</v>
      </c>
      <c r="G1" s="276">
        <f t="shared" si="0"/>
        <v>1</v>
      </c>
      <c r="H1" s="276">
        <f t="shared" si="0"/>
        <v>1</v>
      </c>
      <c r="I1" s="276">
        <f t="shared" si="0"/>
        <v>1</v>
      </c>
      <c r="J1" s="276">
        <f t="shared" si="0"/>
        <v>1</v>
      </c>
      <c r="K1" s="276">
        <f t="shared" si="0"/>
        <v>1</v>
      </c>
      <c r="L1" s="276">
        <f t="shared" si="0"/>
        <v>1</v>
      </c>
      <c r="M1" s="276">
        <f t="shared" si="0"/>
        <v>1</v>
      </c>
      <c r="N1" s="276">
        <f t="shared" si="0"/>
        <v>1</v>
      </c>
      <c r="O1" s="276">
        <f t="shared" si="0"/>
        <v>1</v>
      </c>
      <c r="P1" s="276">
        <f t="shared" si="0"/>
        <v>1</v>
      </c>
      <c r="Q1" s="276">
        <f t="shared" si="0"/>
        <v>1</v>
      </c>
      <c r="R1" s="276">
        <f t="shared" si="0"/>
        <v>1</v>
      </c>
      <c r="S1" s="276">
        <f t="shared" si="0"/>
        <v>1</v>
      </c>
      <c r="T1" s="276">
        <f t="shared" si="0"/>
        <v>1</v>
      </c>
    </row>
    <row r="2" spans="1:25" ht="90.75" thickTop="1" x14ac:dyDescent="0.25">
      <c r="A2" s="284">
        <f>'Data input and defaults'!A1</f>
        <v>2016</v>
      </c>
      <c r="B2" s="285" t="s">
        <v>54</v>
      </c>
      <c r="C2" s="286" t="s">
        <v>469</v>
      </c>
      <c r="D2" s="287" t="s">
        <v>470</v>
      </c>
      <c r="E2" s="288" t="s">
        <v>471</v>
      </c>
      <c r="F2" s="286" t="s">
        <v>472</v>
      </c>
      <c r="G2" s="287" t="s">
        <v>473</v>
      </c>
      <c r="H2" s="288" t="s">
        <v>474</v>
      </c>
      <c r="I2" s="286" t="s">
        <v>475</v>
      </c>
      <c r="J2" s="287" t="s">
        <v>476</v>
      </c>
      <c r="K2" s="288" t="s">
        <v>477</v>
      </c>
      <c r="L2" s="286" t="s">
        <v>478</v>
      </c>
      <c r="M2" s="287" t="s">
        <v>479</v>
      </c>
      <c r="N2" s="288" t="s">
        <v>480</v>
      </c>
      <c r="O2" s="286" t="s">
        <v>481</v>
      </c>
      <c r="P2" s="287" t="s">
        <v>482</v>
      </c>
      <c r="Q2" s="288" t="s">
        <v>483</v>
      </c>
      <c r="R2" s="286" t="s">
        <v>484</v>
      </c>
      <c r="S2" s="287" t="s">
        <v>485</v>
      </c>
      <c r="T2" s="288" t="s">
        <v>486</v>
      </c>
      <c r="U2" s="289" t="s">
        <v>56</v>
      </c>
      <c r="V2" s="289" t="s">
        <v>445</v>
      </c>
      <c r="W2" s="290" t="s">
        <v>55</v>
      </c>
      <c r="X2" s="290" t="s">
        <v>20</v>
      </c>
      <c r="Y2" s="235"/>
    </row>
    <row r="3" spans="1:25" x14ac:dyDescent="0.25">
      <c r="B3" s="277">
        <v>1</v>
      </c>
      <c r="C3" s="278">
        <v>0.1</v>
      </c>
      <c r="D3" s="369">
        <v>0.3</v>
      </c>
      <c r="E3" s="370">
        <f>C3</f>
        <v>0.1</v>
      </c>
      <c r="F3" s="371">
        <v>0.1</v>
      </c>
      <c r="G3" s="369">
        <v>0.3</v>
      </c>
      <c r="H3" s="370">
        <v>0.1</v>
      </c>
      <c r="I3" s="371">
        <v>0.1</v>
      </c>
      <c r="J3" s="369">
        <v>0.3</v>
      </c>
      <c r="K3" s="370">
        <v>0.1</v>
      </c>
      <c r="L3" s="371">
        <v>0.1</v>
      </c>
      <c r="M3" s="369">
        <v>0.3</v>
      </c>
      <c r="N3" s="370">
        <v>0.1</v>
      </c>
      <c r="O3" s="372">
        <v>0.1</v>
      </c>
      <c r="P3" s="369">
        <v>0.3</v>
      </c>
      <c r="Q3" s="370">
        <v>0.1</v>
      </c>
      <c r="R3" s="372">
        <v>0.1</v>
      </c>
      <c r="S3" s="369">
        <v>0.3</v>
      </c>
      <c r="T3" s="370">
        <v>0.1</v>
      </c>
      <c r="U3" s="291">
        <v>3</v>
      </c>
      <c r="V3" s="292">
        <v>100</v>
      </c>
      <c r="W3" s="293">
        <v>45</v>
      </c>
      <c r="X3" s="228" t="s">
        <v>446</v>
      </c>
      <c r="Y3" s="236"/>
    </row>
    <row r="4" spans="1:25" x14ac:dyDescent="0.25">
      <c r="B4" s="277">
        <v>2</v>
      </c>
      <c r="C4" s="278">
        <v>0.1</v>
      </c>
      <c r="D4" s="369">
        <f t="shared" ref="D4:D7" si="1">C4</f>
        <v>0.1</v>
      </c>
      <c r="E4" s="370">
        <v>0.2</v>
      </c>
      <c r="F4" s="371">
        <v>0.1</v>
      </c>
      <c r="G4" s="369">
        <v>0.1</v>
      </c>
      <c r="H4" s="370">
        <v>0.2</v>
      </c>
      <c r="I4" s="371">
        <v>0.1</v>
      </c>
      <c r="J4" s="369">
        <v>0.1</v>
      </c>
      <c r="K4" s="370">
        <v>0.2</v>
      </c>
      <c r="L4" s="371">
        <v>0.1</v>
      </c>
      <c r="M4" s="369">
        <v>0.1</v>
      </c>
      <c r="N4" s="370">
        <v>0.2</v>
      </c>
      <c r="O4" s="372">
        <v>0.1</v>
      </c>
      <c r="P4" s="369">
        <v>0.1</v>
      </c>
      <c r="Q4" s="370">
        <v>0.2</v>
      </c>
      <c r="R4" s="372">
        <v>0.1</v>
      </c>
      <c r="S4" s="369">
        <v>0.1</v>
      </c>
      <c r="T4" s="370">
        <v>0.2</v>
      </c>
      <c r="U4" s="291">
        <v>2.5</v>
      </c>
      <c r="V4" s="292">
        <v>110</v>
      </c>
      <c r="W4" s="293">
        <v>37.5</v>
      </c>
      <c r="X4" s="228" t="s">
        <v>446</v>
      </c>
      <c r="Y4" s="236"/>
    </row>
    <row r="5" spans="1:25" x14ac:dyDescent="0.25">
      <c r="B5" s="277">
        <v>3</v>
      </c>
      <c r="C5" s="278">
        <v>0.2</v>
      </c>
      <c r="D5" s="369">
        <v>0.3</v>
      </c>
      <c r="E5" s="370">
        <v>0.4</v>
      </c>
      <c r="F5" s="371">
        <v>0.2</v>
      </c>
      <c r="G5" s="369">
        <v>0.3</v>
      </c>
      <c r="H5" s="370">
        <v>0.4</v>
      </c>
      <c r="I5" s="371">
        <v>0.2</v>
      </c>
      <c r="J5" s="369">
        <v>0.3</v>
      </c>
      <c r="K5" s="370">
        <v>0.4</v>
      </c>
      <c r="L5" s="371">
        <v>0.2</v>
      </c>
      <c r="M5" s="369">
        <v>0.3</v>
      </c>
      <c r="N5" s="370">
        <v>0.4</v>
      </c>
      <c r="O5" s="372">
        <v>0.2</v>
      </c>
      <c r="P5" s="369">
        <v>0.3</v>
      </c>
      <c r="Q5" s="370">
        <v>0.4</v>
      </c>
      <c r="R5" s="372">
        <v>0.2</v>
      </c>
      <c r="S5" s="369">
        <v>0.3</v>
      </c>
      <c r="T5" s="370">
        <v>0.4</v>
      </c>
      <c r="U5" s="291">
        <v>3.5</v>
      </c>
      <c r="V5" s="292">
        <v>120</v>
      </c>
      <c r="W5" s="293">
        <v>52.5</v>
      </c>
      <c r="X5" s="228" t="s">
        <v>446</v>
      </c>
      <c r="Y5" s="236"/>
    </row>
    <row r="6" spans="1:25" x14ac:dyDescent="0.25">
      <c r="B6" s="277">
        <v>4</v>
      </c>
      <c r="C6" s="278">
        <v>0.3</v>
      </c>
      <c r="D6" s="369">
        <v>0.1</v>
      </c>
      <c r="E6" s="370">
        <v>0.15</v>
      </c>
      <c r="F6" s="371">
        <v>0.3</v>
      </c>
      <c r="G6" s="369">
        <v>0.1</v>
      </c>
      <c r="H6" s="370">
        <v>0.15</v>
      </c>
      <c r="I6" s="371">
        <v>0.3</v>
      </c>
      <c r="J6" s="369">
        <v>0.1</v>
      </c>
      <c r="K6" s="370">
        <v>0.15</v>
      </c>
      <c r="L6" s="371">
        <v>0.3</v>
      </c>
      <c r="M6" s="369">
        <v>0.1</v>
      </c>
      <c r="N6" s="370">
        <v>0.15</v>
      </c>
      <c r="O6" s="372">
        <v>0.3</v>
      </c>
      <c r="P6" s="369">
        <v>0.1</v>
      </c>
      <c r="Q6" s="370">
        <v>0.15</v>
      </c>
      <c r="R6" s="372">
        <v>0.3</v>
      </c>
      <c r="S6" s="369">
        <v>0.1</v>
      </c>
      <c r="T6" s="370">
        <v>0.15</v>
      </c>
      <c r="U6" s="291">
        <v>3</v>
      </c>
      <c r="V6" s="292">
        <v>105</v>
      </c>
      <c r="W6" s="293">
        <v>45</v>
      </c>
      <c r="X6" s="228" t="s">
        <v>446</v>
      </c>
      <c r="Y6" s="236"/>
    </row>
    <row r="7" spans="1:25" x14ac:dyDescent="0.25">
      <c r="B7" s="277">
        <v>5</v>
      </c>
      <c r="C7" s="278">
        <v>0.3</v>
      </c>
      <c r="D7" s="369">
        <v>0.2</v>
      </c>
      <c r="E7" s="370">
        <v>0.15</v>
      </c>
      <c r="F7" s="371">
        <v>0.3</v>
      </c>
      <c r="G7" s="369">
        <v>0.2</v>
      </c>
      <c r="H7" s="370">
        <v>0.15</v>
      </c>
      <c r="I7" s="371">
        <v>0.3</v>
      </c>
      <c r="J7" s="369">
        <v>0.2</v>
      </c>
      <c r="K7" s="370">
        <v>0.15</v>
      </c>
      <c r="L7" s="371">
        <v>0.3</v>
      </c>
      <c r="M7" s="369">
        <v>0.2</v>
      </c>
      <c r="N7" s="370">
        <v>0.15</v>
      </c>
      <c r="O7" s="372">
        <v>0.3</v>
      </c>
      <c r="P7" s="369">
        <v>0.2</v>
      </c>
      <c r="Q7" s="370">
        <v>0.15</v>
      </c>
      <c r="R7" s="372">
        <v>0.3</v>
      </c>
      <c r="S7" s="369">
        <v>0.2</v>
      </c>
      <c r="T7" s="370">
        <v>0.15</v>
      </c>
      <c r="U7" s="291">
        <v>4.5</v>
      </c>
      <c r="V7" s="292">
        <v>140</v>
      </c>
      <c r="W7" s="293">
        <v>67.5</v>
      </c>
      <c r="X7" s="228" t="s">
        <v>446</v>
      </c>
      <c r="Y7" s="236"/>
    </row>
    <row r="8" spans="1:25" x14ac:dyDescent="0.25">
      <c r="B8" s="277"/>
      <c r="C8" s="278"/>
      <c r="D8" s="369"/>
      <c r="E8" s="370"/>
      <c r="F8" s="371"/>
      <c r="G8" s="369"/>
      <c r="H8" s="370"/>
      <c r="I8" s="371"/>
      <c r="J8" s="369"/>
      <c r="K8" s="370"/>
      <c r="L8" s="371"/>
      <c r="M8" s="369"/>
      <c r="N8" s="370"/>
      <c r="O8" s="372"/>
      <c r="P8" s="369"/>
      <c r="Q8" s="370"/>
      <c r="R8" s="372"/>
      <c r="S8" s="369"/>
      <c r="T8" s="370"/>
      <c r="U8" s="291"/>
      <c r="V8" s="292"/>
      <c r="W8" s="293"/>
      <c r="X8" s="228"/>
      <c r="Y8" s="236"/>
    </row>
    <row r="9" spans="1:25" x14ac:dyDescent="0.25">
      <c r="B9" s="277"/>
      <c r="C9" s="278"/>
      <c r="D9" s="369"/>
      <c r="E9" s="370"/>
      <c r="F9" s="371"/>
      <c r="G9" s="369"/>
      <c r="H9" s="370"/>
      <c r="I9" s="371"/>
      <c r="J9" s="369"/>
      <c r="K9" s="370"/>
      <c r="L9" s="371"/>
      <c r="M9" s="369"/>
      <c r="N9" s="370"/>
      <c r="O9" s="372"/>
      <c r="P9" s="369"/>
      <c r="Q9" s="370"/>
      <c r="R9" s="372"/>
      <c r="S9" s="369"/>
      <c r="T9" s="370"/>
      <c r="U9" s="291"/>
      <c r="V9" s="292"/>
      <c r="W9" s="293"/>
      <c r="X9" s="228"/>
      <c r="Y9" s="236"/>
    </row>
    <row r="10" spans="1:25" x14ac:dyDescent="0.25">
      <c r="B10" s="277"/>
      <c r="C10" s="278"/>
      <c r="D10" s="369"/>
      <c r="E10" s="370"/>
      <c r="F10" s="371"/>
      <c r="G10" s="369"/>
      <c r="H10" s="370"/>
      <c r="I10" s="371"/>
      <c r="J10" s="369"/>
      <c r="K10" s="370"/>
      <c r="L10" s="371"/>
      <c r="M10" s="369"/>
      <c r="N10" s="370"/>
      <c r="O10" s="372"/>
      <c r="P10" s="369"/>
      <c r="Q10" s="370"/>
      <c r="R10" s="372"/>
      <c r="S10" s="369"/>
      <c r="T10" s="370"/>
      <c r="U10" s="291"/>
      <c r="V10" s="292"/>
      <c r="W10" s="293"/>
      <c r="X10" s="228"/>
      <c r="Y10" s="236"/>
    </row>
    <row r="11" spans="1:25" x14ac:dyDescent="0.25">
      <c r="B11" s="277"/>
      <c r="C11" s="278"/>
      <c r="D11" s="369"/>
      <c r="E11" s="370"/>
      <c r="F11" s="371"/>
      <c r="G11" s="369"/>
      <c r="H11" s="370"/>
      <c r="I11" s="371"/>
      <c r="J11" s="369"/>
      <c r="K11" s="370"/>
      <c r="L11" s="371"/>
      <c r="M11" s="369"/>
      <c r="N11" s="370"/>
      <c r="O11" s="372"/>
      <c r="P11" s="369"/>
      <c r="Q11" s="370"/>
      <c r="R11" s="372"/>
      <c r="S11" s="369"/>
      <c r="T11" s="370"/>
      <c r="U11" s="291"/>
      <c r="V11" s="292"/>
      <c r="W11" s="293"/>
      <c r="X11" s="228"/>
      <c r="Y11" s="236"/>
    </row>
    <row r="12" spans="1:25" x14ac:dyDescent="0.25">
      <c r="B12" s="277"/>
      <c r="C12" s="278"/>
      <c r="D12" s="369"/>
      <c r="E12" s="370"/>
      <c r="F12" s="371"/>
      <c r="G12" s="369"/>
      <c r="H12" s="370"/>
      <c r="I12" s="371"/>
      <c r="J12" s="369"/>
      <c r="K12" s="370"/>
      <c r="L12" s="371"/>
      <c r="M12" s="369"/>
      <c r="N12" s="370"/>
      <c r="O12" s="372"/>
      <c r="P12" s="369"/>
      <c r="Q12" s="370"/>
      <c r="R12" s="372"/>
      <c r="S12" s="369"/>
      <c r="T12" s="370"/>
      <c r="U12" s="291"/>
      <c r="V12" s="292"/>
      <c r="W12" s="293"/>
      <c r="X12" s="228"/>
      <c r="Y12" s="236"/>
    </row>
    <row r="13" spans="1:25" x14ac:dyDescent="0.25">
      <c r="B13" s="277"/>
      <c r="C13" s="278"/>
      <c r="D13" s="369"/>
      <c r="E13" s="370"/>
      <c r="F13" s="371"/>
      <c r="G13" s="369"/>
      <c r="H13" s="370"/>
      <c r="I13" s="371"/>
      <c r="J13" s="369"/>
      <c r="K13" s="370"/>
      <c r="L13" s="371"/>
      <c r="M13" s="369"/>
      <c r="N13" s="370"/>
      <c r="O13" s="372"/>
      <c r="P13" s="369"/>
      <c r="Q13" s="370"/>
      <c r="R13" s="372"/>
      <c r="S13" s="369"/>
      <c r="T13" s="370"/>
      <c r="U13" s="291"/>
      <c r="V13" s="292"/>
      <c r="W13" s="293"/>
      <c r="X13" s="228"/>
      <c r="Y13" s="236"/>
    </row>
    <row r="14" spans="1:25" x14ac:dyDescent="0.25">
      <c r="B14" s="277"/>
      <c r="C14" s="278"/>
      <c r="D14" s="369"/>
      <c r="E14" s="370"/>
      <c r="F14" s="371"/>
      <c r="G14" s="369"/>
      <c r="H14" s="370"/>
      <c r="I14" s="371"/>
      <c r="J14" s="369"/>
      <c r="K14" s="370"/>
      <c r="L14" s="371"/>
      <c r="M14" s="369"/>
      <c r="N14" s="370"/>
      <c r="O14" s="372"/>
      <c r="P14" s="369"/>
      <c r="Q14" s="370"/>
      <c r="R14" s="372"/>
      <c r="S14" s="369"/>
      <c r="T14" s="370"/>
      <c r="U14" s="291"/>
      <c r="V14" s="292"/>
      <c r="W14" s="293"/>
      <c r="X14" s="228"/>
      <c r="Y14" s="236"/>
    </row>
    <row r="15" spans="1:25" x14ac:dyDescent="0.25">
      <c r="B15" s="277"/>
      <c r="C15" s="278"/>
      <c r="D15" s="369"/>
      <c r="E15" s="370"/>
      <c r="F15" s="371"/>
      <c r="G15" s="369"/>
      <c r="H15" s="370"/>
      <c r="I15" s="371"/>
      <c r="J15" s="369"/>
      <c r="K15" s="370"/>
      <c r="L15" s="371"/>
      <c r="M15" s="369"/>
      <c r="N15" s="370"/>
      <c r="O15" s="372"/>
      <c r="P15" s="369"/>
      <c r="Q15" s="370"/>
      <c r="R15" s="372"/>
      <c r="S15" s="369"/>
      <c r="T15" s="370"/>
      <c r="U15" s="291"/>
      <c r="V15" s="292"/>
      <c r="W15" s="293"/>
      <c r="X15" s="228"/>
      <c r="Y15" s="236"/>
    </row>
    <row r="16" spans="1:25" x14ac:dyDescent="0.25">
      <c r="B16" s="277"/>
      <c r="C16" s="278"/>
      <c r="D16" s="369"/>
      <c r="E16" s="370"/>
      <c r="F16" s="371"/>
      <c r="G16" s="369"/>
      <c r="H16" s="370"/>
      <c r="I16" s="371"/>
      <c r="J16" s="369"/>
      <c r="K16" s="370"/>
      <c r="L16" s="371"/>
      <c r="M16" s="369"/>
      <c r="N16" s="370"/>
      <c r="O16" s="372"/>
      <c r="P16" s="369"/>
      <c r="Q16" s="370"/>
      <c r="R16" s="372"/>
      <c r="S16" s="369"/>
      <c r="T16" s="370"/>
      <c r="U16" s="291"/>
      <c r="V16" s="292"/>
      <c r="W16" s="293"/>
      <c r="X16" s="228"/>
      <c r="Y16" s="236"/>
    </row>
    <row r="17" spans="2:25" x14ac:dyDescent="0.25">
      <c r="B17" s="277"/>
      <c r="C17" s="278"/>
      <c r="D17" s="369"/>
      <c r="E17" s="370"/>
      <c r="F17" s="371"/>
      <c r="G17" s="369"/>
      <c r="H17" s="370"/>
      <c r="I17" s="371"/>
      <c r="J17" s="369"/>
      <c r="K17" s="370"/>
      <c r="L17" s="371"/>
      <c r="M17" s="369"/>
      <c r="N17" s="370"/>
      <c r="O17" s="372"/>
      <c r="P17" s="369"/>
      <c r="Q17" s="370"/>
      <c r="R17" s="372"/>
      <c r="S17" s="369"/>
      <c r="T17" s="370"/>
      <c r="U17" s="291"/>
      <c r="V17" s="292"/>
      <c r="W17" s="293"/>
      <c r="X17" s="228"/>
      <c r="Y17" s="236"/>
    </row>
    <row r="18" spans="2:25" x14ac:dyDescent="0.25">
      <c r="B18" s="277"/>
      <c r="C18" s="278"/>
      <c r="D18" s="369"/>
      <c r="E18" s="370"/>
      <c r="F18" s="371"/>
      <c r="G18" s="369"/>
      <c r="H18" s="370"/>
      <c r="I18" s="371"/>
      <c r="J18" s="369"/>
      <c r="K18" s="370"/>
      <c r="L18" s="371"/>
      <c r="M18" s="369"/>
      <c r="N18" s="370"/>
      <c r="O18" s="372"/>
      <c r="P18" s="369"/>
      <c r="Q18" s="370"/>
      <c r="R18" s="372"/>
      <c r="S18" s="369"/>
      <c r="T18" s="370"/>
      <c r="U18" s="291"/>
      <c r="V18" s="292"/>
      <c r="W18" s="293"/>
      <c r="X18" s="228"/>
      <c r="Y18" s="236"/>
    </row>
    <row r="19" spans="2:25" x14ac:dyDescent="0.25">
      <c r="B19" s="277"/>
      <c r="C19" s="279"/>
      <c r="D19" s="373"/>
      <c r="E19" s="374"/>
      <c r="F19" s="375"/>
      <c r="G19" s="373"/>
      <c r="H19" s="374"/>
      <c r="I19" s="375"/>
      <c r="J19" s="373"/>
      <c r="K19" s="374"/>
      <c r="L19" s="375"/>
      <c r="M19" s="373"/>
      <c r="N19" s="374"/>
      <c r="O19" s="376"/>
      <c r="P19" s="373"/>
      <c r="Q19" s="374"/>
      <c r="R19" s="372"/>
      <c r="S19" s="373"/>
      <c r="T19" s="374"/>
      <c r="U19" s="294"/>
      <c r="V19" s="295"/>
      <c r="W19" s="296"/>
      <c r="X19" s="228"/>
      <c r="Y19" s="50"/>
    </row>
    <row r="20" spans="2:25" x14ac:dyDescent="0.25">
      <c r="B20" s="277"/>
      <c r="C20" s="279"/>
      <c r="D20" s="373"/>
      <c r="E20" s="374"/>
      <c r="F20" s="375"/>
      <c r="G20" s="373"/>
      <c r="H20" s="374"/>
      <c r="I20" s="375"/>
      <c r="J20" s="373"/>
      <c r="K20" s="374"/>
      <c r="L20" s="375"/>
      <c r="M20" s="373"/>
      <c r="N20" s="374"/>
      <c r="O20" s="376"/>
      <c r="P20" s="373"/>
      <c r="Q20" s="374"/>
      <c r="R20" s="372"/>
      <c r="S20" s="373"/>
      <c r="T20" s="374"/>
      <c r="U20" s="294"/>
      <c r="V20" s="295"/>
      <c r="W20" s="296"/>
      <c r="X20" s="228"/>
    </row>
    <row r="21" spans="2:25" x14ac:dyDescent="0.25">
      <c r="B21" s="277"/>
      <c r="C21" s="279"/>
      <c r="D21" s="373"/>
      <c r="E21" s="374"/>
      <c r="F21" s="375"/>
      <c r="G21" s="373"/>
      <c r="H21" s="374"/>
      <c r="I21" s="375"/>
      <c r="J21" s="373"/>
      <c r="K21" s="374"/>
      <c r="L21" s="375"/>
      <c r="M21" s="373"/>
      <c r="N21" s="374"/>
      <c r="O21" s="376"/>
      <c r="P21" s="373"/>
      <c r="Q21" s="374"/>
      <c r="R21" s="372"/>
      <c r="S21" s="373"/>
      <c r="T21" s="374"/>
      <c r="U21" s="294"/>
      <c r="V21" s="295"/>
      <c r="W21" s="296"/>
      <c r="X21" s="228"/>
    </row>
    <row r="22" spans="2:25" x14ac:dyDescent="0.25">
      <c r="B22" s="277"/>
      <c r="C22" s="279"/>
      <c r="D22" s="373"/>
      <c r="E22" s="374"/>
      <c r="F22" s="375"/>
      <c r="G22" s="373"/>
      <c r="H22" s="374"/>
      <c r="I22" s="375"/>
      <c r="J22" s="373"/>
      <c r="K22" s="374"/>
      <c r="L22" s="375"/>
      <c r="M22" s="373"/>
      <c r="N22" s="374"/>
      <c r="O22" s="376"/>
      <c r="P22" s="373"/>
      <c r="Q22" s="374"/>
      <c r="R22" s="372"/>
      <c r="S22" s="373"/>
      <c r="T22" s="374"/>
      <c r="U22" s="297"/>
      <c r="V22" s="295"/>
      <c r="W22" s="296"/>
      <c r="X22" s="228"/>
    </row>
    <row r="23" spans="2:25" x14ac:dyDescent="0.25">
      <c r="B23" s="277"/>
      <c r="C23" s="279"/>
      <c r="D23" s="373"/>
      <c r="E23" s="374"/>
      <c r="F23" s="375"/>
      <c r="G23" s="373"/>
      <c r="H23" s="374"/>
      <c r="I23" s="375"/>
      <c r="J23" s="373"/>
      <c r="K23" s="374"/>
      <c r="L23" s="375"/>
      <c r="M23" s="373"/>
      <c r="N23" s="374"/>
      <c r="O23" s="376"/>
      <c r="P23" s="373"/>
      <c r="Q23" s="374"/>
      <c r="R23" s="372"/>
      <c r="S23" s="373"/>
      <c r="T23" s="374"/>
      <c r="U23" s="298"/>
      <c r="V23" s="295"/>
      <c r="W23" s="296"/>
      <c r="X23" s="228"/>
    </row>
    <row r="24" spans="2:25" x14ac:dyDescent="0.25">
      <c r="B24" s="277"/>
      <c r="C24" s="279"/>
      <c r="D24" s="373"/>
      <c r="E24" s="374"/>
      <c r="F24" s="375"/>
      <c r="G24" s="373"/>
      <c r="H24" s="374"/>
      <c r="I24" s="375"/>
      <c r="J24" s="373"/>
      <c r="K24" s="374"/>
      <c r="L24" s="375"/>
      <c r="M24" s="373"/>
      <c r="N24" s="374"/>
      <c r="O24" s="376"/>
      <c r="P24" s="373"/>
      <c r="Q24" s="374"/>
      <c r="R24" s="372"/>
      <c r="S24" s="373"/>
      <c r="T24" s="374"/>
      <c r="U24" s="294"/>
      <c r="V24" s="295"/>
      <c r="W24" s="296"/>
      <c r="X24" s="228"/>
    </row>
    <row r="25" spans="2:25" x14ac:dyDescent="0.25">
      <c r="B25" s="277"/>
      <c r="C25" s="279"/>
      <c r="D25" s="373"/>
      <c r="E25" s="374"/>
      <c r="F25" s="375"/>
      <c r="G25" s="373"/>
      <c r="H25" s="374"/>
      <c r="I25" s="375"/>
      <c r="J25" s="373"/>
      <c r="K25" s="374"/>
      <c r="L25" s="375"/>
      <c r="M25" s="373"/>
      <c r="N25" s="374"/>
      <c r="O25" s="376"/>
      <c r="P25" s="373"/>
      <c r="Q25" s="374"/>
      <c r="R25" s="372"/>
      <c r="S25" s="373"/>
      <c r="T25" s="374"/>
      <c r="U25" s="294"/>
      <c r="V25" s="295"/>
      <c r="W25" s="296"/>
      <c r="X25" s="228"/>
    </row>
    <row r="26" spans="2:25" x14ac:dyDescent="0.25">
      <c r="B26" s="277"/>
      <c r="C26" s="279"/>
      <c r="D26" s="373"/>
      <c r="E26" s="374"/>
      <c r="F26" s="375"/>
      <c r="G26" s="373"/>
      <c r="H26" s="374"/>
      <c r="I26" s="375"/>
      <c r="J26" s="373"/>
      <c r="K26" s="374"/>
      <c r="L26" s="375"/>
      <c r="M26" s="373"/>
      <c r="N26" s="374"/>
      <c r="O26" s="376"/>
      <c r="P26" s="373"/>
      <c r="Q26" s="374"/>
      <c r="R26" s="372"/>
      <c r="S26" s="373"/>
      <c r="T26" s="374"/>
      <c r="U26" s="294"/>
      <c r="V26" s="295"/>
      <c r="W26" s="296"/>
      <c r="X26" s="228"/>
    </row>
    <row r="27" spans="2:25" x14ac:dyDescent="0.25">
      <c r="B27" s="277"/>
      <c r="C27" s="279"/>
      <c r="D27" s="373"/>
      <c r="E27" s="374"/>
      <c r="F27" s="375"/>
      <c r="G27" s="373"/>
      <c r="H27" s="374"/>
      <c r="I27" s="375"/>
      <c r="J27" s="373"/>
      <c r="K27" s="374"/>
      <c r="L27" s="375"/>
      <c r="M27" s="373"/>
      <c r="N27" s="374"/>
      <c r="O27" s="376"/>
      <c r="P27" s="373"/>
      <c r="Q27" s="374"/>
      <c r="R27" s="372"/>
      <c r="S27" s="373"/>
      <c r="T27" s="374"/>
      <c r="U27" s="294"/>
      <c r="V27" s="295"/>
      <c r="W27" s="296"/>
      <c r="X27" s="228"/>
    </row>
    <row r="28" spans="2:25" x14ac:dyDescent="0.25">
      <c r="B28" s="277"/>
      <c r="C28" s="279"/>
      <c r="D28" s="373"/>
      <c r="E28" s="374"/>
      <c r="F28" s="375"/>
      <c r="G28" s="373"/>
      <c r="H28" s="374"/>
      <c r="I28" s="375"/>
      <c r="J28" s="373"/>
      <c r="K28" s="374"/>
      <c r="L28" s="375"/>
      <c r="M28" s="373"/>
      <c r="N28" s="374"/>
      <c r="O28" s="376"/>
      <c r="P28" s="373"/>
      <c r="Q28" s="374"/>
      <c r="R28" s="372"/>
      <c r="S28" s="373"/>
      <c r="T28" s="374"/>
      <c r="U28" s="294"/>
      <c r="V28" s="295"/>
      <c r="W28" s="296"/>
      <c r="X28" s="228"/>
    </row>
    <row r="29" spans="2:25" x14ac:dyDescent="0.25">
      <c r="B29" s="277"/>
      <c r="C29" s="279"/>
      <c r="D29" s="373"/>
      <c r="E29" s="374"/>
      <c r="F29" s="375"/>
      <c r="G29" s="373"/>
      <c r="H29" s="374"/>
      <c r="I29" s="375"/>
      <c r="J29" s="373"/>
      <c r="K29" s="374"/>
      <c r="L29" s="375"/>
      <c r="M29" s="373"/>
      <c r="N29" s="374"/>
      <c r="O29" s="376"/>
      <c r="P29" s="373"/>
      <c r="Q29" s="374"/>
      <c r="R29" s="372"/>
      <c r="S29" s="373"/>
      <c r="T29" s="374"/>
      <c r="U29" s="294"/>
      <c r="V29" s="295"/>
      <c r="W29" s="296"/>
      <c r="X29" s="228"/>
    </row>
    <row r="30" spans="2:25" x14ac:dyDescent="0.25">
      <c r="B30" s="277"/>
      <c r="C30" s="279"/>
      <c r="D30" s="373"/>
      <c r="E30" s="374"/>
      <c r="F30" s="375"/>
      <c r="G30" s="373"/>
      <c r="H30" s="374"/>
      <c r="I30" s="375"/>
      <c r="J30" s="373"/>
      <c r="K30" s="374"/>
      <c r="L30" s="375"/>
      <c r="M30" s="373"/>
      <c r="N30" s="374"/>
      <c r="O30" s="376"/>
      <c r="P30" s="373"/>
      <c r="Q30" s="374"/>
      <c r="R30" s="372"/>
      <c r="S30" s="373"/>
      <c r="T30" s="374"/>
      <c r="U30" s="294"/>
      <c r="V30" s="295"/>
      <c r="W30" s="296"/>
      <c r="X30" s="228"/>
    </row>
    <row r="31" spans="2:25" x14ac:dyDescent="0.25">
      <c r="B31" s="277"/>
      <c r="C31" s="279"/>
      <c r="D31" s="373"/>
      <c r="E31" s="374"/>
      <c r="F31" s="375"/>
      <c r="G31" s="373"/>
      <c r="H31" s="374"/>
      <c r="I31" s="375"/>
      <c r="J31" s="373"/>
      <c r="K31" s="374"/>
      <c r="L31" s="375"/>
      <c r="M31" s="373"/>
      <c r="N31" s="374"/>
      <c r="O31" s="376"/>
      <c r="P31" s="373"/>
      <c r="Q31" s="374"/>
      <c r="R31" s="372"/>
      <c r="S31" s="373"/>
      <c r="T31" s="374"/>
      <c r="U31" s="294"/>
      <c r="V31" s="295"/>
      <c r="W31" s="296"/>
      <c r="X31" s="228"/>
    </row>
    <row r="32" spans="2:25" x14ac:dyDescent="0.25">
      <c r="B32" s="277"/>
      <c r="C32" s="279"/>
      <c r="D32" s="373"/>
      <c r="E32" s="374"/>
      <c r="F32" s="375"/>
      <c r="G32" s="373"/>
      <c r="H32" s="374"/>
      <c r="I32" s="375"/>
      <c r="J32" s="373"/>
      <c r="K32" s="374"/>
      <c r="L32" s="375"/>
      <c r="M32" s="373"/>
      <c r="N32" s="374"/>
      <c r="O32" s="376"/>
      <c r="P32" s="373"/>
      <c r="Q32" s="374"/>
      <c r="R32" s="372"/>
      <c r="S32" s="373"/>
      <c r="T32" s="374"/>
      <c r="U32" s="294"/>
      <c r="V32" s="295"/>
      <c r="W32" s="296"/>
      <c r="X32" s="228"/>
    </row>
    <row r="33" spans="2:24" x14ac:dyDescent="0.25">
      <c r="B33" s="277"/>
      <c r="C33" s="279"/>
      <c r="D33" s="373"/>
      <c r="E33" s="374"/>
      <c r="F33" s="375"/>
      <c r="G33" s="373"/>
      <c r="H33" s="374"/>
      <c r="I33" s="375"/>
      <c r="J33" s="373"/>
      <c r="K33" s="374"/>
      <c r="L33" s="375"/>
      <c r="M33" s="373"/>
      <c r="N33" s="374"/>
      <c r="O33" s="376"/>
      <c r="P33" s="373"/>
      <c r="Q33" s="374"/>
      <c r="R33" s="372"/>
      <c r="S33" s="373"/>
      <c r="T33" s="374"/>
      <c r="U33" s="294"/>
      <c r="V33" s="295"/>
      <c r="W33" s="296"/>
      <c r="X33" s="228"/>
    </row>
    <row r="34" spans="2:24" x14ac:dyDescent="0.25">
      <c r="B34" s="277"/>
      <c r="C34" s="279"/>
      <c r="D34" s="373"/>
      <c r="E34" s="374"/>
      <c r="F34" s="375"/>
      <c r="G34" s="373"/>
      <c r="H34" s="374"/>
      <c r="I34" s="375"/>
      <c r="J34" s="373"/>
      <c r="K34" s="374"/>
      <c r="L34" s="375"/>
      <c r="M34" s="373"/>
      <c r="N34" s="374"/>
      <c r="O34" s="376"/>
      <c r="P34" s="373"/>
      <c r="Q34" s="374"/>
      <c r="R34" s="372"/>
      <c r="S34" s="373"/>
      <c r="T34" s="374"/>
      <c r="U34" s="294"/>
      <c r="V34" s="295"/>
      <c r="W34" s="296"/>
      <c r="X34" s="228"/>
    </row>
    <row r="35" spans="2:24" x14ac:dyDescent="0.25">
      <c r="B35" s="277"/>
      <c r="C35" s="279"/>
      <c r="D35" s="373"/>
      <c r="E35" s="374"/>
      <c r="F35" s="375"/>
      <c r="G35" s="373"/>
      <c r="H35" s="374"/>
      <c r="I35" s="375"/>
      <c r="J35" s="373"/>
      <c r="K35" s="374"/>
      <c r="L35" s="375"/>
      <c r="M35" s="373"/>
      <c r="N35" s="374"/>
      <c r="O35" s="376"/>
      <c r="P35" s="373"/>
      <c r="Q35" s="374"/>
      <c r="R35" s="372"/>
      <c r="S35" s="373"/>
      <c r="T35" s="374"/>
      <c r="U35" s="294"/>
      <c r="V35" s="295"/>
      <c r="W35" s="296"/>
      <c r="X35" s="228"/>
    </row>
    <row r="36" spans="2:24" x14ac:dyDescent="0.25">
      <c r="B36" s="277"/>
      <c r="C36" s="279"/>
      <c r="D36" s="373"/>
      <c r="E36" s="374"/>
      <c r="F36" s="375"/>
      <c r="G36" s="373"/>
      <c r="H36" s="374"/>
      <c r="I36" s="375"/>
      <c r="J36" s="373"/>
      <c r="K36" s="374"/>
      <c r="L36" s="375"/>
      <c r="M36" s="373"/>
      <c r="N36" s="374"/>
      <c r="O36" s="376"/>
      <c r="P36" s="373"/>
      <c r="Q36" s="374"/>
      <c r="R36" s="372"/>
      <c r="S36" s="373"/>
      <c r="T36" s="374"/>
      <c r="U36" s="294"/>
      <c r="V36" s="295"/>
      <c r="W36" s="296"/>
      <c r="X36" s="228"/>
    </row>
    <row r="37" spans="2:24" x14ac:dyDescent="0.25">
      <c r="B37" s="277"/>
      <c r="C37" s="279"/>
      <c r="D37" s="373"/>
      <c r="E37" s="374"/>
      <c r="F37" s="375"/>
      <c r="G37" s="373"/>
      <c r="H37" s="374"/>
      <c r="I37" s="375"/>
      <c r="J37" s="373"/>
      <c r="K37" s="374"/>
      <c r="L37" s="375"/>
      <c r="M37" s="373"/>
      <c r="N37" s="374"/>
      <c r="O37" s="376"/>
      <c r="P37" s="373"/>
      <c r="Q37" s="374"/>
      <c r="R37" s="372"/>
      <c r="S37" s="373"/>
      <c r="T37" s="374"/>
      <c r="U37" s="294"/>
      <c r="V37" s="295"/>
      <c r="W37" s="296"/>
      <c r="X37" s="228"/>
    </row>
    <row r="38" spans="2:24" x14ac:dyDescent="0.25">
      <c r="B38" s="277"/>
      <c r="C38" s="279"/>
      <c r="D38" s="373"/>
      <c r="E38" s="374"/>
      <c r="F38" s="375"/>
      <c r="G38" s="373"/>
      <c r="H38" s="374"/>
      <c r="I38" s="375"/>
      <c r="J38" s="373"/>
      <c r="K38" s="374"/>
      <c r="L38" s="375"/>
      <c r="M38" s="373"/>
      <c r="N38" s="374"/>
      <c r="O38" s="376"/>
      <c r="P38" s="373"/>
      <c r="Q38" s="374"/>
      <c r="R38" s="372"/>
      <c r="S38" s="373"/>
      <c r="T38" s="374"/>
      <c r="U38" s="294"/>
      <c r="V38" s="295"/>
      <c r="W38" s="296"/>
      <c r="X38" s="228"/>
    </row>
    <row r="39" spans="2:24" x14ac:dyDescent="0.25">
      <c r="B39" s="277"/>
      <c r="C39" s="279"/>
      <c r="D39" s="373"/>
      <c r="E39" s="374"/>
      <c r="F39" s="375"/>
      <c r="G39" s="373"/>
      <c r="H39" s="374"/>
      <c r="I39" s="375"/>
      <c r="J39" s="373"/>
      <c r="K39" s="374"/>
      <c r="L39" s="375"/>
      <c r="M39" s="373"/>
      <c r="N39" s="374"/>
      <c r="O39" s="376"/>
      <c r="P39" s="373"/>
      <c r="Q39" s="374"/>
      <c r="R39" s="372"/>
      <c r="S39" s="373"/>
      <c r="T39" s="374"/>
      <c r="U39" s="294"/>
      <c r="V39" s="295"/>
      <c r="W39" s="296"/>
      <c r="X39" s="228"/>
    </row>
    <row r="40" spans="2:24" x14ac:dyDescent="0.25">
      <c r="B40" s="277"/>
      <c r="C40" s="279"/>
      <c r="D40" s="373"/>
      <c r="E40" s="374"/>
      <c r="F40" s="375"/>
      <c r="G40" s="373"/>
      <c r="H40" s="374"/>
      <c r="I40" s="375"/>
      <c r="J40" s="373"/>
      <c r="K40" s="374"/>
      <c r="L40" s="375"/>
      <c r="M40" s="373"/>
      <c r="N40" s="374"/>
      <c r="O40" s="376"/>
      <c r="P40" s="373"/>
      <c r="Q40" s="374"/>
      <c r="R40" s="372"/>
      <c r="S40" s="373"/>
      <c r="T40" s="374"/>
      <c r="U40" s="294"/>
      <c r="V40" s="295"/>
      <c r="W40" s="296"/>
      <c r="X40" s="228"/>
    </row>
    <row r="41" spans="2:24" x14ac:dyDescent="0.25">
      <c r="B41" s="277"/>
      <c r="C41" s="279"/>
      <c r="D41" s="373"/>
      <c r="E41" s="374"/>
      <c r="F41" s="375"/>
      <c r="G41" s="373"/>
      <c r="H41" s="374"/>
      <c r="I41" s="375"/>
      <c r="J41" s="373"/>
      <c r="K41" s="374"/>
      <c r="L41" s="375"/>
      <c r="M41" s="373"/>
      <c r="N41" s="374"/>
      <c r="O41" s="376"/>
      <c r="P41" s="373"/>
      <c r="Q41" s="374"/>
      <c r="R41" s="372"/>
      <c r="S41" s="373"/>
      <c r="T41" s="374"/>
      <c r="U41" s="294"/>
      <c r="V41" s="295"/>
      <c r="W41" s="296"/>
      <c r="X41" s="228"/>
    </row>
    <row r="42" spans="2:24" x14ac:dyDescent="0.25">
      <c r="B42" s="277"/>
      <c r="C42" s="279"/>
      <c r="D42" s="373"/>
      <c r="E42" s="374"/>
      <c r="F42" s="375"/>
      <c r="G42" s="373"/>
      <c r="H42" s="374"/>
      <c r="I42" s="375"/>
      <c r="J42" s="373"/>
      <c r="K42" s="374"/>
      <c r="L42" s="375"/>
      <c r="M42" s="373"/>
      <c r="N42" s="374"/>
      <c r="O42" s="376"/>
      <c r="P42" s="373"/>
      <c r="Q42" s="374"/>
      <c r="R42" s="372"/>
      <c r="S42" s="373"/>
      <c r="T42" s="374"/>
      <c r="U42" s="294"/>
      <c r="V42" s="295"/>
      <c r="W42" s="296"/>
      <c r="X42" s="228"/>
    </row>
    <row r="43" spans="2:24" x14ac:dyDescent="0.25">
      <c r="B43" s="277"/>
      <c r="C43" s="279"/>
      <c r="D43" s="373"/>
      <c r="E43" s="374"/>
      <c r="F43" s="375"/>
      <c r="G43" s="373"/>
      <c r="H43" s="374"/>
      <c r="I43" s="375"/>
      <c r="J43" s="373"/>
      <c r="K43" s="374"/>
      <c r="L43" s="375"/>
      <c r="M43" s="373"/>
      <c r="N43" s="374"/>
      <c r="O43" s="376"/>
      <c r="P43" s="373"/>
      <c r="Q43" s="374"/>
      <c r="R43" s="372"/>
      <c r="S43" s="373"/>
      <c r="T43" s="374"/>
      <c r="U43" s="294"/>
      <c r="V43" s="295"/>
      <c r="W43" s="296"/>
      <c r="X43" s="228"/>
    </row>
    <row r="44" spans="2:24" x14ac:dyDescent="0.25">
      <c r="B44" s="277"/>
      <c r="C44" s="279"/>
      <c r="D44" s="373"/>
      <c r="E44" s="374"/>
      <c r="F44" s="375"/>
      <c r="G44" s="373"/>
      <c r="H44" s="374"/>
      <c r="I44" s="375"/>
      <c r="J44" s="373"/>
      <c r="K44" s="374"/>
      <c r="L44" s="375"/>
      <c r="M44" s="373"/>
      <c r="N44" s="374"/>
      <c r="O44" s="376"/>
      <c r="P44" s="373"/>
      <c r="Q44" s="374"/>
      <c r="R44" s="372"/>
      <c r="S44" s="373"/>
      <c r="T44" s="374"/>
      <c r="U44" s="294"/>
      <c r="V44" s="295"/>
      <c r="W44" s="296"/>
      <c r="X44" s="228"/>
    </row>
    <row r="45" spans="2:24" x14ac:dyDescent="0.25">
      <c r="B45" s="277"/>
      <c r="C45" s="279"/>
      <c r="D45" s="373"/>
      <c r="E45" s="374"/>
      <c r="F45" s="375"/>
      <c r="G45" s="373"/>
      <c r="H45" s="374"/>
      <c r="I45" s="375"/>
      <c r="J45" s="373"/>
      <c r="K45" s="374"/>
      <c r="L45" s="375"/>
      <c r="M45" s="373"/>
      <c r="N45" s="374"/>
      <c r="O45" s="376"/>
      <c r="P45" s="373"/>
      <c r="Q45" s="374"/>
      <c r="R45" s="372"/>
      <c r="S45" s="373"/>
      <c r="T45" s="374"/>
      <c r="U45" s="294"/>
      <c r="V45" s="295"/>
      <c r="W45" s="296"/>
      <c r="X45" s="228"/>
    </row>
    <row r="46" spans="2:24" x14ac:dyDescent="0.25">
      <c r="B46" s="277"/>
      <c r="C46" s="279"/>
      <c r="D46" s="373"/>
      <c r="E46" s="374"/>
      <c r="F46" s="375"/>
      <c r="G46" s="373"/>
      <c r="H46" s="374"/>
      <c r="I46" s="375"/>
      <c r="J46" s="373"/>
      <c r="K46" s="374"/>
      <c r="L46" s="375"/>
      <c r="M46" s="373"/>
      <c r="N46" s="374"/>
      <c r="O46" s="376"/>
      <c r="P46" s="373"/>
      <c r="Q46" s="374"/>
      <c r="R46" s="372"/>
      <c r="S46" s="373"/>
      <c r="T46" s="374"/>
      <c r="U46" s="294"/>
      <c r="V46" s="295"/>
      <c r="W46" s="296"/>
      <c r="X46" s="228"/>
    </row>
    <row r="47" spans="2:24" x14ac:dyDescent="0.25">
      <c r="B47" s="277"/>
      <c r="C47" s="279"/>
      <c r="D47" s="373"/>
      <c r="E47" s="374"/>
      <c r="F47" s="375"/>
      <c r="G47" s="373"/>
      <c r="H47" s="374"/>
      <c r="I47" s="375"/>
      <c r="J47" s="373"/>
      <c r="K47" s="374"/>
      <c r="L47" s="375"/>
      <c r="M47" s="373"/>
      <c r="N47" s="374"/>
      <c r="O47" s="376"/>
      <c r="P47" s="373"/>
      <c r="Q47" s="374"/>
      <c r="R47" s="372"/>
      <c r="S47" s="373"/>
      <c r="T47" s="374"/>
      <c r="U47" s="294"/>
      <c r="V47" s="295"/>
      <c r="W47" s="296"/>
      <c r="X47" s="228"/>
    </row>
    <row r="48" spans="2:24" x14ac:dyDescent="0.25">
      <c r="B48" s="277"/>
      <c r="C48" s="279"/>
      <c r="D48" s="373"/>
      <c r="E48" s="374"/>
      <c r="F48" s="375"/>
      <c r="G48" s="373"/>
      <c r="H48" s="374"/>
      <c r="I48" s="375"/>
      <c r="J48" s="373"/>
      <c r="K48" s="374"/>
      <c r="L48" s="375"/>
      <c r="M48" s="373"/>
      <c r="N48" s="374"/>
      <c r="O48" s="376"/>
      <c r="P48" s="373"/>
      <c r="Q48" s="374"/>
      <c r="R48" s="372"/>
      <c r="S48" s="373"/>
      <c r="T48" s="374"/>
      <c r="U48" s="294"/>
      <c r="V48" s="295"/>
      <c r="W48" s="296"/>
      <c r="X48" s="228"/>
    </row>
    <row r="49" spans="2:24" x14ac:dyDescent="0.25">
      <c r="B49" s="277"/>
      <c r="C49" s="279"/>
      <c r="D49" s="373"/>
      <c r="E49" s="374"/>
      <c r="F49" s="375"/>
      <c r="G49" s="373"/>
      <c r="H49" s="374"/>
      <c r="I49" s="375"/>
      <c r="J49" s="373"/>
      <c r="K49" s="374"/>
      <c r="L49" s="375"/>
      <c r="M49" s="373"/>
      <c r="N49" s="374"/>
      <c r="O49" s="376"/>
      <c r="P49" s="373"/>
      <c r="Q49" s="374"/>
      <c r="R49" s="372"/>
      <c r="S49" s="373"/>
      <c r="T49" s="374"/>
      <c r="U49" s="294"/>
      <c r="V49" s="295"/>
      <c r="W49" s="296"/>
      <c r="X49" s="228"/>
    </row>
    <row r="50" spans="2:24" x14ac:dyDescent="0.25">
      <c r="B50" s="277"/>
      <c r="C50" s="279"/>
      <c r="D50" s="373"/>
      <c r="E50" s="374"/>
      <c r="F50" s="375"/>
      <c r="G50" s="373"/>
      <c r="H50" s="374"/>
      <c r="I50" s="375"/>
      <c r="J50" s="373"/>
      <c r="K50" s="374"/>
      <c r="L50" s="375"/>
      <c r="M50" s="373"/>
      <c r="N50" s="374"/>
      <c r="O50" s="376"/>
      <c r="P50" s="373"/>
      <c r="Q50" s="374"/>
      <c r="R50" s="372"/>
      <c r="S50" s="373"/>
      <c r="T50" s="374"/>
      <c r="U50" s="294"/>
      <c r="V50" s="295"/>
      <c r="W50" s="296"/>
      <c r="X50" s="228"/>
    </row>
    <row r="51" spans="2:24" x14ac:dyDescent="0.25">
      <c r="B51" s="277"/>
      <c r="C51" s="279"/>
      <c r="D51" s="373"/>
      <c r="E51" s="374"/>
      <c r="F51" s="375"/>
      <c r="G51" s="373"/>
      <c r="H51" s="374"/>
      <c r="I51" s="375"/>
      <c r="J51" s="373"/>
      <c r="K51" s="374"/>
      <c r="L51" s="375"/>
      <c r="M51" s="373"/>
      <c r="N51" s="374"/>
      <c r="O51" s="376"/>
      <c r="P51" s="373"/>
      <c r="Q51" s="374"/>
      <c r="R51" s="372"/>
      <c r="S51" s="373"/>
      <c r="T51" s="374"/>
      <c r="U51" s="294"/>
      <c r="V51" s="295"/>
      <c r="W51" s="299"/>
      <c r="X51" s="228"/>
    </row>
    <row r="52" spans="2:24" x14ac:dyDescent="0.25">
      <c r="B52" s="277"/>
      <c r="C52" s="279"/>
      <c r="D52" s="373"/>
      <c r="E52" s="374"/>
      <c r="F52" s="375"/>
      <c r="G52" s="373"/>
      <c r="H52" s="374"/>
      <c r="I52" s="375"/>
      <c r="J52" s="373"/>
      <c r="K52" s="374"/>
      <c r="L52" s="375"/>
      <c r="M52" s="373"/>
      <c r="N52" s="374"/>
      <c r="O52" s="376"/>
      <c r="P52" s="373"/>
      <c r="Q52" s="374"/>
      <c r="R52" s="372"/>
      <c r="S52" s="373"/>
      <c r="T52" s="374"/>
      <c r="U52" s="294"/>
      <c r="V52" s="295"/>
      <c r="W52" s="296"/>
      <c r="X52" s="228"/>
    </row>
    <row r="53" spans="2:24" x14ac:dyDescent="0.25">
      <c r="B53" s="277"/>
      <c r="C53" s="279"/>
      <c r="D53" s="373"/>
      <c r="E53" s="374"/>
      <c r="F53" s="375"/>
      <c r="G53" s="373"/>
      <c r="H53" s="374"/>
      <c r="I53" s="375"/>
      <c r="J53" s="373"/>
      <c r="K53" s="374"/>
      <c r="L53" s="375"/>
      <c r="M53" s="373"/>
      <c r="N53" s="374"/>
      <c r="O53" s="376"/>
      <c r="P53" s="373"/>
      <c r="Q53" s="374"/>
      <c r="R53" s="372"/>
      <c r="S53" s="373"/>
      <c r="T53" s="374"/>
      <c r="U53" s="294"/>
      <c r="V53" s="295"/>
      <c r="W53" s="296"/>
      <c r="X53" s="228"/>
    </row>
    <row r="54" spans="2:24" x14ac:dyDescent="0.25">
      <c r="B54" s="277"/>
      <c r="C54" s="279"/>
      <c r="D54" s="373"/>
      <c r="E54" s="374"/>
      <c r="F54" s="375"/>
      <c r="G54" s="373"/>
      <c r="H54" s="374"/>
      <c r="I54" s="375"/>
      <c r="J54" s="373"/>
      <c r="K54" s="374"/>
      <c r="L54" s="375"/>
      <c r="M54" s="373"/>
      <c r="N54" s="374"/>
      <c r="O54" s="376"/>
      <c r="P54" s="373"/>
      <c r="Q54" s="374"/>
      <c r="R54" s="372"/>
      <c r="S54" s="373"/>
      <c r="T54" s="374"/>
      <c r="U54" s="294"/>
      <c r="V54" s="295"/>
      <c r="W54" s="296"/>
      <c r="X54" s="228"/>
    </row>
    <row r="55" spans="2:24" x14ac:dyDescent="0.25">
      <c r="B55" s="277"/>
      <c r="C55" s="279"/>
      <c r="D55" s="373"/>
      <c r="E55" s="374"/>
      <c r="F55" s="375"/>
      <c r="G55" s="373"/>
      <c r="H55" s="374"/>
      <c r="I55" s="375"/>
      <c r="J55" s="373"/>
      <c r="K55" s="374"/>
      <c r="L55" s="375"/>
      <c r="M55" s="373"/>
      <c r="N55" s="374"/>
      <c r="O55" s="376"/>
      <c r="P55" s="373"/>
      <c r="Q55" s="374"/>
      <c r="R55" s="372"/>
      <c r="S55" s="373"/>
      <c r="T55" s="374"/>
      <c r="U55" s="294"/>
      <c r="V55" s="295"/>
      <c r="W55" s="296"/>
      <c r="X55" s="228"/>
    </row>
    <row r="56" spans="2:24" x14ac:dyDescent="0.25">
      <c r="B56" s="277"/>
      <c r="C56" s="279"/>
      <c r="D56" s="373"/>
      <c r="E56" s="374"/>
      <c r="F56" s="375"/>
      <c r="G56" s="373"/>
      <c r="H56" s="374"/>
      <c r="I56" s="375"/>
      <c r="J56" s="373"/>
      <c r="K56" s="374"/>
      <c r="L56" s="375"/>
      <c r="M56" s="373"/>
      <c r="N56" s="374"/>
      <c r="O56" s="376"/>
      <c r="P56" s="373"/>
      <c r="Q56" s="374"/>
      <c r="R56" s="372"/>
      <c r="S56" s="373"/>
      <c r="T56" s="374"/>
      <c r="U56" s="294"/>
      <c r="V56" s="295"/>
      <c r="W56" s="296"/>
      <c r="X56" s="228"/>
    </row>
    <row r="57" spans="2:24" x14ac:dyDescent="0.25">
      <c r="B57" s="277"/>
      <c r="C57" s="279"/>
      <c r="D57" s="373"/>
      <c r="E57" s="374"/>
      <c r="F57" s="375"/>
      <c r="G57" s="373"/>
      <c r="H57" s="374"/>
      <c r="I57" s="375"/>
      <c r="J57" s="373"/>
      <c r="K57" s="374"/>
      <c r="L57" s="375"/>
      <c r="M57" s="373"/>
      <c r="N57" s="374"/>
      <c r="O57" s="376"/>
      <c r="P57" s="373"/>
      <c r="Q57" s="374"/>
      <c r="R57" s="372"/>
      <c r="S57" s="373"/>
      <c r="T57" s="374"/>
      <c r="U57" s="294"/>
      <c r="V57" s="295"/>
      <c r="W57" s="296"/>
      <c r="X57" s="228"/>
    </row>
    <row r="58" spans="2:24" x14ac:dyDescent="0.25">
      <c r="B58" s="277"/>
      <c r="C58" s="279"/>
      <c r="D58" s="373"/>
      <c r="E58" s="374"/>
      <c r="F58" s="375"/>
      <c r="G58" s="373"/>
      <c r="H58" s="374"/>
      <c r="I58" s="375"/>
      <c r="J58" s="373"/>
      <c r="K58" s="374"/>
      <c r="L58" s="375"/>
      <c r="M58" s="373"/>
      <c r="N58" s="374"/>
      <c r="O58" s="376"/>
      <c r="P58" s="373"/>
      <c r="Q58" s="374"/>
      <c r="R58" s="372"/>
      <c r="S58" s="373"/>
      <c r="T58" s="374"/>
      <c r="U58" s="294"/>
      <c r="V58" s="295"/>
      <c r="W58" s="296"/>
      <c r="X58" s="228"/>
    </row>
    <row r="59" spans="2:24" x14ac:dyDescent="0.25">
      <c r="B59" s="277"/>
      <c r="C59" s="279"/>
      <c r="D59" s="373"/>
      <c r="E59" s="374"/>
      <c r="F59" s="375"/>
      <c r="G59" s="373"/>
      <c r="H59" s="374"/>
      <c r="I59" s="375"/>
      <c r="J59" s="373"/>
      <c r="K59" s="374"/>
      <c r="L59" s="375"/>
      <c r="M59" s="373"/>
      <c r="N59" s="374"/>
      <c r="O59" s="376"/>
      <c r="P59" s="373"/>
      <c r="Q59" s="374"/>
      <c r="R59" s="372"/>
      <c r="S59" s="373"/>
      <c r="T59" s="374"/>
      <c r="U59" s="294"/>
      <c r="V59" s="295"/>
      <c r="W59" s="296"/>
      <c r="X59" s="228"/>
    </row>
    <row r="60" spans="2:24" x14ac:dyDescent="0.25">
      <c r="B60" s="277"/>
      <c r="C60" s="279"/>
      <c r="D60" s="373"/>
      <c r="E60" s="374"/>
      <c r="F60" s="375"/>
      <c r="G60" s="373"/>
      <c r="H60" s="374"/>
      <c r="I60" s="375"/>
      <c r="J60" s="373"/>
      <c r="K60" s="374"/>
      <c r="L60" s="375"/>
      <c r="M60" s="373"/>
      <c r="N60" s="374"/>
      <c r="O60" s="376"/>
      <c r="P60" s="373"/>
      <c r="Q60" s="374"/>
      <c r="R60" s="372"/>
      <c r="S60" s="373"/>
      <c r="T60" s="374"/>
      <c r="U60" s="294"/>
      <c r="V60" s="295"/>
      <c r="W60" s="296"/>
      <c r="X60" s="228"/>
    </row>
    <row r="61" spans="2:24" x14ac:dyDescent="0.25">
      <c r="B61" s="277"/>
      <c r="C61" s="279"/>
      <c r="D61" s="373"/>
      <c r="E61" s="374"/>
      <c r="F61" s="375"/>
      <c r="G61" s="373"/>
      <c r="H61" s="374"/>
      <c r="I61" s="375"/>
      <c r="J61" s="373"/>
      <c r="K61" s="374"/>
      <c r="L61" s="375"/>
      <c r="M61" s="373"/>
      <c r="N61" s="374"/>
      <c r="O61" s="376"/>
      <c r="P61" s="373"/>
      <c r="Q61" s="374"/>
      <c r="R61" s="372"/>
      <c r="S61" s="373"/>
      <c r="T61" s="374"/>
      <c r="U61" s="294"/>
      <c r="V61" s="295"/>
      <c r="W61" s="296"/>
      <c r="X61" s="228"/>
    </row>
    <row r="62" spans="2:24" x14ac:dyDescent="0.25">
      <c r="B62" s="277"/>
      <c r="C62" s="279"/>
      <c r="D62" s="373"/>
      <c r="E62" s="374"/>
      <c r="F62" s="375"/>
      <c r="G62" s="373"/>
      <c r="H62" s="374"/>
      <c r="I62" s="375"/>
      <c r="J62" s="373"/>
      <c r="K62" s="374"/>
      <c r="L62" s="375"/>
      <c r="M62" s="373"/>
      <c r="N62" s="374"/>
      <c r="O62" s="376"/>
      <c r="P62" s="373"/>
      <c r="Q62" s="374"/>
      <c r="R62" s="372"/>
      <c r="S62" s="373"/>
      <c r="T62" s="374"/>
      <c r="U62" s="294"/>
      <c r="V62" s="295"/>
      <c r="W62" s="296"/>
      <c r="X62" s="228"/>
    </row>
    <row r="63" spans="2:24" x14ac:dyDescent="0.25">
      <c r="B63" s="277"/>
      <c r="C63" s="279"/>
      <c r="D63" s="373"/>
      <c r="E63" s="374"/>
      <c r="F63" s="375"/>
      <c r="G63" s="373"/>
      <c r="H63" s="374"/>
      <c r="I63" s="375"/>
      <c r="J63" s="373"/>
      <c r="K63" s="374"/>
      <c r="L63" s="375"/>
      <c r="M63" s="373"/>
      <c r="N63" s="374"/>
      <c r="O63" s="376"/>
      <c r="P63" s="373"/>
      <c r="Q63" s="374"/>
      <c r="R63" s="372"/>
      <c r="S63" s="373"/>
      <c r="T63" s="374"/>
      <c r="U63" s="294"/>
      <c r="V63" s="295"/>
      <c r="W63" s="296"/>
      <c r="X63" s="228"/>
    </row>
    <row r="64" spans="2:24" x14ac:dyDescent="0.25">
      <c r="B64" s="277"/>
      <c r="C64" s="279"/>
      <c r="D64" s="373"/>
      <c r="E64" s="374"/>
      <c r="F64" s="375"/>
      <c r="G64" s="373"/>
      <c r="H64" s="374"/>
      <c r="I64" s="375"/>
      <c r="J64" s="373"/>
      <c r="K64" s="374"/>
      <c r="L64" s="375"/>
      <c r="M64" s="373"/>
      <c r="N64" s="374"/>
      <c r="O64" s="376"/>
      <c r="P64" s="373"/>
      <c r="Q64" s="374"/>
      <c r="R64" s="372"/>
      <c r="S64" s="373"/>
      <c r="T64" s="374"/>
      <c r="U64" s="294"/>
      <c r="V64" s="295"/>
      <c r="W64" s="296"/>
      <c r="X64" s="228"/>
    </row>
    <row r="65" spans="2:24" x14ac:dyDescent="0.25">
      <c r="B65" s="277"/>
      <c r="C65" s="279"/>
      <c r="D65" s="373"/>
      <c r="E65" s="374"/>
      <c r="F65" s="375"/>
      <c r="G65" s="373"/>
      <c r="H65" s="374"/>
      <c r="I65" s="375"/>
      <c r="J65" s="373"/>
      <c r="K65" s="374"/>
      <c r="L65" s="375"/>
      <c r="M65" s="373"/>
      <c r="N65" s="374"/>
      <c r="O65" s="376"/>
      <c r="P65" s="373"/>
      <c r="Q65" s="374"/>
      <c r="R65" s="372"/>
      <c r="S65" s="373"/>
      <c r="T65" s="374"/>
      <c r="U65" s="294"/>
      <c r="V65" s="295"/>
      <c r="W65" s="296"/>
      <c r="X65" s="228"/>
    </row>
    <row r="66" spans="2:24" x14ac:dyDescent="0.25">
      <c r="B66" s="277"/>
      <c r="C66" s="279"/>
      <c r="D66" s="373"/>
      <c r="E66" s="374"/>
      <c r="F66" s="375"/>
      <c r="G66" s="373"/>
      <c r="H66" s="374"/>
      <c r="I66" s="375"/>
      <c r="J66" s="373"/>
      <c r="K66" s="374"/>
      <c r="L66" s="375"/>
      <c r="M66" s="373"/>
      <c r="N66" s="374"/>
      <c r="O66" s="376"/>
      <c r="P66" s="373"/>
      <c r="Q66" s="374"/>
      <c r="R66" s="372"/>
      <c r="S66" s="373"/>
      <c r="T66" s="374"/>
      <c r="U66" s="294"/>
      <c r="V66" s="295"/>
      <c r="W66" s="296"/>
      <c r="X66" s="228"/>
    </row>
    <row r="67" spans="2:24" x14ac:dyDescent="0.25">
      <c r="B67" s="277"/>
      <c r="C67" s="279"/>
      <c r="D67" s="373"/>
      <c r="E67" s="374"/>
      <c r="F67" s="375"/>
      <c r="G67" s="373"/>
      <c r="H67" s="374"/>
      <c r="I67" s="375"/>
      <c r="J67" s="373"/>
      <c r="K67" s="374"/>
      <c r="L67" s="375"/>
      <c r="M67" s="373"/>
      <c r="N67" s="374"/>
      <c r="O67" s="376"/>
      <c r="P67" s="373"/>
      <c r="Q67" s="374"/>
      <c r="R67" s="372"/>
      <c r="S67" s="373"/>
      <c r="T67" s="374"/>
      <c r="U67" s="294"/>
      <c r="V67" s="295"/>
      <c r="W67" s="296"/>
      <c r="X67" s="228"/>
    </row>
    <row r="68" spans="2:24" x14ac:dyDescent="0.25">
      <c r="B68" s="277"/>
      <c r="C68" s="279"/>
      <c r="D68" s="373"/>
      <c r="E68" s="374"/>
      <c r="F68" s="375"/>
      <c r="G68" s="373"/>
      <c r="H68" s="374"/>
      <c r="I68" s="375"/>
      <c r="J68" s="373"/>
      <c r="K68" s="374"/>
      <c r="L68" s="375"/>
      <c r="M68" s="373"/>
      <c r="N68" s="374"/>
      <c r="O68" s="376"/>
      <c r="P68" s="373"/>
      <c r="Q68" s="374"/>
      <c r="R68" s="372"/>
      <c r="S68" s="373"/>
      <c r="T68" s="374"/>
      <c r="U68" s="294"/>
      <c r="V68" s="295"/>
      <c r="W68" s="296"/>
      <c r="X68" s="228"/>
    </row>
    <row r="69" spans="2:24" x14ac:dyDescent="0.25">
      <c r="B69" s="277"/>
      <c r="C69" s="279"/>
      <c r="D69" s="373"/>
      <c r="E69" s="374"/>
      <c r="F69" s="375"/>
      <c r="G69" s="373"/>
      <c r="H69" s="374"/>
      <c r="I69" s="375"/>
      <c r="J69" s="373"/>
      <c r="K69" s="374"/>
      <c r="L69" s="375"/>
      <c r="M69" s="373"/>
      <c r="N69" s="374"/>
      <c r="O69" s="376"/>
      <c r="P69" s="373"/>
      <c r="Q69" s="374"/>
      <c r="R69" s="372"/>
      <c r="S69" s="373"/>
      <c r="T69" s="374"/>
      <c r="U69" s="294"/>
      <c r="V69" s="295"/>
      <c r="W69" s="296"/>
      <c r="X69" s="228"/>
    </row>
    <row r="70" spans="2:24" x14ac:dyDescent="0.25">
      <c r="B70" s="277"/>
      <c r="C70" s="279"/>
      <c r="D70" s="373"/>
      <c r="E70" s="374"/>
      <c r="F70" s="375"/>
      <c r="G70" s="373"/>
      <c r="H70" s="374"/>
      <c r="I70" s="375"/>
      <c r="J70" s="373"/>
      <c r="K70" s="374"/>
      <c r="L70" s="375"/>
      <c r="M70" s="373"/>
      <c r="N70" s="374"/>
      <c r="O70" s="376"/>
      <c r="P70" s="373"/>
      <c r="Q70" s="374"/>
      <c r="R70" s="372"/>
      <c r="S70" s="373"/>
      <c r="T70" s="374"/>
      <c r="U70" s="294"/>
      <c r="V70" s="295"/>
      <c r="W70" s="296"/>
      <c r="X70" s="228"/>
    </row>
    <row r="71" spans="2:24" x14ac:dyDescent="0.25">
      <c r="B71" s="277"/>
      <c r="C71" s="279"/>
      <c r="D71" s="373"/>
      <c r="E71" s="374"/>
      <c r="F71" s="375"/>
      <c r="G71" s="373"/>
      <c r="H71" s="374"/>
      <c r="I71" s="375"/>
      <c r="J71" s="373"/>
      <c r="K71" s="374"/>
      <c r="L71" s="375"/>
      <c r="M71" s="373"/>
      <c r="N71" s="374"/>
      <c r="O71" s="376"/>
      <c r="P71" s="373"/>
      <c r="Q71" s="374"/>
      <c r="R71" s="372"/>
      <c r="S71" s="373"/>
      <c r="T71" s="374"/>
      <c r="U71" s="294"/>
      <c r="V71" s="295"/>
      <c r="W71" s="296"/>
      <c r="X71" s="228"/>
    </row>
    <row r="72" spans="2:24" x14ac:dyDescent="0.25">
      <c r="B72" s="277"/>
      <c r="C72" s="279"/>
      <c r="D72" s="373"/>
      <c r="E72" s="374"/>
      <c r="F72" s="375"/>
      <c r="G72" s="373"/>
      <c r="H72" s="374"/>
      <c r="I72" s="375"/>
      <c r="J72" s="373"/>
      <c r="K72" s="374"/>
      <c r="L72" s="375"/>
      <c r="M72" s="373"/>
      <c r="N72" s="374"/>
      <c r="O72" s="376"/>
      <c r="P72" s="373"/>
      <c r="Q72" s="374"/>
      <c r="R72" s="372"/>
      <c r="S72" s="373"/>
      <c r="T72" s="374"/>
      <c r="U72" s="294"/>
      <c r="V72" s="295"/>
      <c r="W72" s="296"/>
      <c r="X72" s="228"/>
    </row>
    <row r="73" spans="2:24" x14ac:dyDescent="0.25">
      <c r="B73" s="277"/>
      <c r="C73" s="279"/>
      <c r="D73" s="373"/>
      <c r="E73" s="374"/>
      <c r="F73" s="375"/>
      <c r="G73" s="373"/>
      <c r="H73" s="374"/>
      <c r="I73" s="375"/>
      <c r="J73" s="373"/>
      <c r="K73" s="374"/>
      <c r="L73" s="375"/>
      <c r="M73" s="373"/>
      <c r="N73" s="374"/>
      <c r="O73" s="376"/>
      <c r="P73" s="373"/>
      <c r="Q73" s="374"/>
      <c r="R73" s="372"/>
      <c r="S73" s="373"/>
      <c r="T73" s="374"/>
      <c r="U73" s="294"/>
      <c r="V73" s="295"/>
      <c r="W73" s="296"/>
      <c r="X73" s="228"/>
    </row>
    <row r="74" spans="2:24" x14ac:dyDescent="0.25">
      <c r="B74" s="277"/>
      <c r="C74" s="279"/>
      <c r="D74" s="373"/>
      <c r="E74" s="374"/>
      <c r="F74" s="375"/>
      <c r="G74" s="373"/>
      <c r="H74" s="374"/>
      <c r="I74" s="375"/>
      <c r="J74" s="373"/>
      <c r="K74" s="374"/>
      <c r="L74" s="375"/>
      <c r="M74" s="373"/>
      <c r="N74" s="374"/>
      <c r="O74" s="376"/>
      <c r="P74" s="373"/>
      <c r="Q74" s="374"/>
      <c r="R74" s="372"/>
      <c r="S74" s="373"/>
      <c r="T74" s="374"/>
      <c r="U74" s="294"/>
      <c r="V74" s="295"/>
      <c r="W74" s="296"/>
      <c r="X74" s="228"/>
    </row>
    <row r="75" spans="2:24" x14ac:dyDescent="0.25">
      <c r="B75" s="277"/>
      <c r="C75" s="279"/>
      <c r="D75" s="373"/>
      <c r="E75" s="374"/>
      <c r="F75" s="375"/>
      <c r="G75" s="373"/>
      <c r="H75" s="374"/>
      <c r="I75" s="375"/>
      <c r="J75" s="373"/>
      <c r="K75" s="374"/>
      <c r="L75" s="375"/>
      <c r="M75" s="373"/>
      <c r="N75" s="374"/>
      <c r="O75" s="376"/>
      <c r="P75" s="373"/>
      <c r="Q75" s="374"/>
      <c r="R75" s="372"/>
      <c r="S75" s="373"/>
      <c r="T75" s="374"/>
      <c r="U75" s="294"/>
      <c r="V75" s="295"/>
      <c r="W75" s="296"/>
      <c r="X75" s="228"/>
    </row>
    <row r="76" spans="2:24" x14ac:dyDescent="0.25">
      <c r="B76" s="277"/>
      <c r="C76" s="279"/>
      <c r="D76" s="373"/>
      <c r="E76" s="374"/>
      <c r="F76" s="375"/>
      <c r="G76" s="373"/>
      <c r="H76" s="374"/>
      <c r="I76" s="375"/>
      <c r="J76" s="373"/>
      <c r="K76" s="374"/>
      <c r="L76" s="375"/>
      <c r="M76" s="373"/>
      <c r="N76" s="374"/>
      <c r="O76" s="376"/>
      <c r="P76" s="373"/>
      <c r="Q76" s="374"/>
      <c r="R76" s="372"/>
      <c r="S76" s="373"/>
      <c r="T76" s="374"/>
      <c r="U76" s="294"/>
      <c r="V76" s="295"/>
      <c r="W76" s="296"/>
      <c r="X76" s="228"/>
    </row>
    <row r="77" spans="2:24" x14ac:dyDescent="0.25">
      <c r="B77" s="277"/>
      <c r="C77" s="279"/>
      <c r="D77" s="373"/>
      <c r="E77" s="374"/>
      <c r="F77" s="375"/>
      <c r="G77" s="373"/>
      <c r="H77" s="374"/>
      <c r="I77" s="375"/>
      <c r="J77" s="373"/>
      <c r="K77" s="374"/>
      <c r="L77" s="375"/>
      <c r="M77" s="373"/>
      <c r="N77" s="374"/>
      <c r="O77" s="376"/>
      <c r="P77" s="373"/>
      <c r="Q77" s="374"/>
      <c r="R77" s="372"/>
      <c r="S77" s="373"/>
      <c r="T77" s="374"/>
      <c r="U77" s="294"/>
      <c r="V77" s="295"/>
      <c r="W77" s="296"/>
      <c r="X77" s="228"/>
    </row>
    <row r="78" spans="2:24" x14ac:dyDescent="0.25">
      <c r="B78" s="277"/>
      <c r="C78" s="279"/>
      <c r="D78" s="373"/>
      <c r="E78" s="374"/>
      <c r="F78" s="375"/>
      <c r="G78" s="373"/>
      <c r="H78" s="374"/>
      <c r="I78" s="375"/>
      <c r="J78" s="373"/>
      <c r="K78" s="374"/>
      <c r="L78" s="375"/>
      <c r="M78" s="373"/>
      <c r="N78" s="374"/>
      <c r="O78" s="376"/>
      <c r="P78" s="373"/>
      <c r="Q78" s="374"/>
      <c r="R78" s="372"/>
      <c r="S78" s="373"/>
      <c r="T78" s="374"/>
      <c r="U78" s="294"/>
      <c r="V78" s="295"/>
      <c r="W78" s="296"/>
      <c r="X78" s="228"/>
    </row>
    <row r="79" spans="2:24" x14ac:dyDescent="0.25">
      <c r="B79" s="277"/>
      <c r="C79" s="279"/>
      <c r="D79" s="373"/>
      <c r="E79" s="374"/>
      <c r="F79" s="375"/>
      <c r="G79" s="373"/>
      <c r="H79" s="374"/>
      <c r="I79" s="375"/>
      <c r="J79" s="373"/>
      <c r="K79" s="374"/>
      <c r="L79" s="375"/>
      <c r="M79" s="373"/>
      <c r="N79" s="374"/>
      <c r="O79" s="376"/>
      <c r="P79" s="373"/>
      <c r="Q79" s="374"/>
      <c r="R79" s="372"/>
      <c r="S79" s="373"/>
      <c r="T79" s="374"/>
      <c r="U79" s="294"/>
      <c r="V79" s="295"/>
      <c r="W79" s="296"/>
      <c r="X79" s="228"/>
    </row>
    <row r="80" spans="2:24" x14ac:dyDescent="0.25">
      <c r="B80" s="277"/>
      <c r="C80" s="279"/>
      <c r="D80" s="373"/>
      <c r="E80" s="374"/>
      <c r="F80" s="375"/>
      <c r="G80" s="373"/>
      <c r="H80" s="374"/>
      <c r="I80" s="375"/>
      <c r="J80" s="373"/>
      <c r="K80" s="374"/>
      <c r="L80" s="375"/>
      <c r="M80" s="373"/>
      <c r="N80" s="374"/>
      <c r="O80" s="376"/>
      <c r="P80" s="373"/>
      <c r="Q80" s="374"/>
      <c r="R80" s="372"/>
      <c r="S80" s="373"/>
      <c r="T80" s="374"/>
      <c r="U80" s="294"/>
      <c r="V80" s="295"/>
      <c r="W80" s="296"/>
      <c r="X80" s="228"/>
    </row>
    <row r="81" spans="2:24" x14ac:dyDescent="0.25">
      <c r="B81" s="277"/>
      <c r="C81" s="279"/>
      <c r="D81" s="373"/>
      <c r="E81" s="374"/>
      <c r="F81" s="375"/>
      <c r="G81" s="373"/>
      <c r="H81" s="374"/>
      <c r="I81" s="375"/>
      <c r="J81" s="373"/>
      <c r="K81" s="374"/>
      <c r="L81" s="375"/>
      <c r="M81" s="373"/>
      <c r="N81" s="374"/>
      <c r="O81" s="376"/>
      <c r="P81" s="373"/>
      <c r="Q81" s="374"/>
      <c r="R81" s="372"/>
      <c r="S81" s="373"/>
      <c r="T81" s="374"/>
      <c r="U81" s="294"/>
      <c r="V81" s="295"/>
      <c r="W81" s="296"/>
      <c r="X81" s="228"/>
    </row>
    <row r="82" spans="2:24" x14ac:dyDescent="0.25">
      <c r="B82" s="277"/>
      <c r="C82" s="279"/>
      <c r="D82" s="373"/>
      <c r="E82" s="374"/>
      <c r="F82" s="375"/>
      <c r="G82" s="373"/>
      <c r="H82" s="374"/>
      <c r="I82" s="375"/>
      <c r="J82" s="373"/>
      <c r="K82" s="374"/>
      <c r="L82" s="375"/>
      <c r="M82" s="373"/>
      <c r="N82" s="374"/>
      <c r="O82" s="376"/>
      <c r="P82" s="373"/>
      <c r="Q82" s="374"/>
      <c r="R82" s="372"/>
      <c r="S82" s="373"/>
      <c r="T82" s="374"/>
      <c r="U82" s="294"/>
      <c r="V82" s="295"/>
      <c r="W82" s="296"/>
      <c r="X82" s="228"/>
    </row>
    <row r="83" spans="2:24" x14ac:dyDescent="0.25">
      <c r="B83" s="277"/>
      <c r="C83" s="279"/>
      <c r="D83" s="373"/>
      <c r="E83" s="374"/>
      <c r="F83" s="375"/>
      <c r="G83" s="373"/>
      <c r="H83" s="374"/>
      <c r="I83" s="375"/>
      <c r="J83" s="373"/>
      <c r="K83" s="374"/>
      <c r="L83" s="375"/>
      <c r="M83" s="373"/>
      <c r="N83" s="374"/>
      <c r="O83" s="376"/>
      <c r="P83" s="373"/>
      <c r="Q83" s="374"/>
      <c r="R83" s="372"/>
      <c r="S83" s="373"/>
      <c r="T83" s="374"/>
      <c r="U83" s="294"/>
      <c r="V83" s="295"/>
      <c r="W83" s="296"/>
      <c r="X83" s="228"/>
    </row>
    <row r="84" spans="2:24" x14ac:dyDescent="0.25">
      <c r="B84" s="277"/>
      <c r="C84" s="279"/>
      <c r="D84" s="373"/>
      <c r="E84" s="374"/>
      <c r="F84" s="375"/>
      <c r="G84" s="373"/>
      <c r="H84" s="374"/>
      <c r="I84" s="375"/>
      <c r="J84" s="373"/>
      <c r="K84" s="374"/>
      <c r="L84" s="375"/>
      <c r="M84" s="373"/>
      <c r="N84" s="374"/>
      <c r="O84" s="376"/>
      <c r="P84" s="373"/>
      <c r="Q84" s="374"/>
      <c r="R84" s="372"/>
      <c r="S84" s="373"/>
      <c r="T84" s="374"/>
      <c r="U84" s="294"/>
      <c r="V84" s="295"/>
      <c r="W84" s="296"/>
      <c r="X84" s="228"/>
    </row>
    <row r="85" spans="2:24" x14ac:dyDescent="0.25">
      <c r="B85" s="277"/>
      <c r="C85" s="279"/>
      <c r="D85" s="373"/>
      <c r="E85" s="374"/>
      <c r="F85" s="375"/>
      <c r="G85" s="373"/>
      <c r="H85" s="374"/>
      <c r="I85" s="375"/>
      <c r="J85" s="373"/>
      <c r="K85" s="374"/>
      <c r="L85" s="375"/>
      <c r="M85" s="373"/>
      <c r="N85" s="374"/>
      <c r="O85" s="376"/>
      <c r="P85" s="373"/>
      <c r="Q85" s="374"/>
      <c r="R85" s="372"/>
      <c r="S85" s="373"/>
      <c r="T85" s="374"/>
      <c r="U85" s="294"/>
      <c r="V85" s="295"/>
      <c r="W85" s="296"/>
      <c r="X85" s="228"/>
    </row>
    <row r="86" spans="2:24" x14ac:dyDescent="0.25">
      <c r="B86" s="277"/>
      <c r="C86" s="279"/>
      <c r="D86" s="373"/>
      <c r="E86" s="374"/>
      <c r="F86" s="375"/>
      <c r="G86" s="373"/>
      <c r="H86" s="374"/>
      <c r="I86" s="375"/>
      <c r="J86" s="373"/>
      <c r="K86" s="374"/>
      <c r="L86" s="375"/>
      <c r="M86" s="373"/>
      <c r="N86" s="374"/>
      <c r="O86" s="376"/>
      <c r="P86" s="373"/>
      <c r="Q86" s="374"/>
      <c r="R86" s="372"/>
      <c r="S86" s="373"/>
      <c r="T86" s="374"/>
      <c r="U86" s="294"/>
      <c r="V86" s="295"/>
      <c r="W86" s="296"/>
      <c r="X86" s="228"/>
    </row>
    <row r="87" spans="2:24" x14ac:dyDescent="0.25">
      <c r="B87" s="277"/>
      <c r="C87" s="279"/>
      <c r="D87" s="373"/>
      <c r="E87" s="374"/>
      <c r="F87" s="375"/>
      <c r="G87" s="373"/>
      <c r="H87" s="374"/>
      <c r="I87" s="375"/>
      <c r="J87" s="373"/>
      <c r="K87" s="374"/>
      <c r="L87" s="375"/>
      <c r="M87" s="373"/>
      <c r="N87" s="374"/>
      <c r="O87" s="376"/>
      <c r="P87" s="373"/>
      <c r="Q87" s="374"/>
      <c r="R87" s="372"/>
      <c r="S87" s="373"/>
      <c r="T87" s="374"/>
      <c r="U87" s="294"/>
      <c r="V87" s="295"/>
      <c r="W87" s="296"/>
      <c r="X87" s="228"/>
    </row>
    <row r="88" spans="2:24" x14ac:dyDescent="0.25">
      <c r="B88" s="277"/>
      <c r="C88" s="279"/>
      <c r="D88" s="373"/>
      <c r="E88" s="374"/>
      <c r="F88" s="375"/>
      <c r="G88" s="373"/>
      <c r="H88" s="374"/>
      <c r="I88" s="375"/>
      <c r="J88" s="373"/>
      <c r="K88" s="374"/>
      <c r="L88" s="375"/>
      <c r="M88" s="373"/>
      <c r="N88" s="374"/>
      <c r="O88" s="376"/>
      <c r="P88" s="373"/>
      <c r="Q88" s="374"/>
      <c r="R88" s="372"/>
      <c r="S88" s="373"/>
      <c r="T88" s="374"/>
      <c r="U88" s="294"/>
      <c r="V88" s="295"/>
      <c r="W88" s="296"/>
      <c r="X88" s="228"/>
    </row>
    <row r="89" spans="2:24" x14ac:dyDescent="0.25">
      <c r="B89" s="277"/>
      <c r="C89" s="279"/>
      <c r="D89" s="373"/>
      <c r="E89" s="374"/>
      <c r="F89" s="375"/>
      <c r="G89" s="373"/>
      <c r="H89" s="374"/>
      <c r="I89" s="375"/>
      <c r="J89" s="373"/>
      <c r="K89" s="374"/>
      <c r="L89" s="375"/>
      <c r="M89" s="373"/>
      <c r="N89" s="374"/>
      <c r="O89" s="376"/>
      <c r="P89" s="373"/>
      <c r="Q89" s="374"/>
      <c r="R89" s="372"/>
      <c r="S89" s="373"/>
      <c r="T89" s="374"/>
      <c r="U89" s="294"/>
      <c r="V89" s="295"/>
      <c r="W89" s="296"/>
      <c r="X89" s="228"/>
    </row>
    <row r="90" spans="2:24" x14ac:dyDescent="0.25">
      <c r="B90" s="277"/>
      <c r="C90" s="279"/>
      <c r="D90" s="373"/>
      <c r="E90" s="374"/>
      <c r="F90" s="375"/>
      <c r="G90" s="373"/>
      <c r="H90" s="374"/>
      <c r="I90" s="375"/>
      <c r="J90" s="373"/>
      <c r="K90" s="374"/>
      <c r="L90" s="375"/>
      <c r="M90" s="373"/>
      <c r="N90" s="374"/>
      <c r="O90" s="376"/>
      <c r="P90" s="373"/>
      <c r="Q90" s="374"/>
      <c r="R90" s="372"/>
      <c r="S90" s="373"/>
      <c r="T90" s="374"/>
      <c r="U90" s="294"/>
      <c r="V90" s="295"/>
      <c r="W90" s="296"/>
      <c r="X90" s="228"/>
    </row>
    <row r="91" spans="2:24" x14ac:dyDescent="0.25">
      <c r="B91" s="277"/>
      <c r="C91" s="279"/>
      <c r="D91" s="373"/>
      <c r="E91" s="374"/>
      <c r="F91" s="375"/>
      <c r="G91" s="373"/>
      <c r="H91" s="374"/>
      <c r="I91" s="375"/>
      <c r="J91" s="373"/>
      <c r="K91" s="374"/>
      <c r="L91" s="375"/>
      <c r="M91" s="373"/>
      <c r="N91" s="374"/>
      <c r="O91" s="376"/>
      <c r="P91" s="373"/>
      <c r="Q91" s="374"/>
      <c r="R91" s="372"/>
      <c r="S91" s="373"/>
      <c r="T91" s="374"/>
      <c r="U91" s="294"/>
      <c r="V91" s="295"/>
      <c r="W91" s="296"/>
      <c r="X91" s="228"/>
    </row>
    <row r="92" spans="2:24" x14ac:dyDescent="0.25">
      <c r="B92" s="277"/>
      <c r="C92" s="279"/>
      <c r="D92" s="373"/>
      <c r="E92" s="374"/>
      <c r="F92" s="375"/>
      <c r="G92" s="373"/>
      <c r="H92" s="374"/>
      <c r="I92" s="375"/>
      <c r="J92" s="373"/>
      <c r="K92" s="374"/>
      <c r="L92" s="375"/>
      <c r="M92" s="373"/>
      <c r="N92" s="374"/>
      <c r="O92" s="376"/>
      <c r="P92" s="373"/>
      <c r="Q92" s="374"/>
      <c r="R92" s="372"/>
      <c r="S92" s="373"/>
      <c r="T92" s="374"/>
      <c r="U92" s="294"/>
      <c r="V92" s="295"/>
      <c r="W92" s="296"/>
      <c r="X92" s="228"/>
    </row>
    <row r="93" spans="2:24" x14ac:dyDescent="0.25">
      <c r="B93" s="277"/>
      <c r="C93" s="279"/>
      <c r="D93" s="373"/>
      <c r="E93" s="374"/>
      <c r="F93" s="375"/>
      <c r="G93" s="373"/>
      <c r="H93" s="374"/>
      <c r="I93" s="375"/>
      <c r="J93" s="373"/>
      <c r="K93" s="374"/>
      <c r="L93" s="375"/>
      <c r="M93" s="373"/>
      <c r="N93" s="374"/>
      <c r="O93" s="376"/>
      <c r="P93" s="373"/>
      <c r="Q93" s="374"/>
      <c r="R93" s="372"/>
      <c r="S93" s="373"/>
      <c r="T93" s="374"/>
      <c r="U93" s="294"/>
      <c r="V93" s="295"/>
      <c r="W93" s="296"/>
      <c r="X93" s="228"/>
    </row>
    <row r="94" spans="2:24" x14ac:dyDescent="0.25">
      <c r="B94" s="277"/>
      <c r="C94" s="279"/>
      <c r="D94" s="373"/>
      <c r="E94" s="374"/>
      <c r="F94" s="375"/>
      <c r="G94" s="373"/>
      <c r="H94" s="374"/>
      <c r="I94" s="375"/>
      <c r="J94" s="373"/>
      <c r="K94" s="374"/>
      <c r="L94" s="375"/>
      <c r="M94" s="373"/>
      <c r="N94" s="374"/>
      <c r="O94" s="376"/>
      <c r="P94" s="373"/>
      <c r="Q94" s="374"/>
      <c r="R94" s="372"/>
      <c r="S94" s="373"/>
      <c r="T94" s="374"/>
      <c r="U94" s="294"/>
      <c r="V94" s="295"/>
      <c r="W94" s="296"/>
      <c r="X94" s="228"/>
    </row>
    <row r="95" spans="2:24" x14ac:dyDescent="0.25">
      <c r="B95" s="277"/>
      <c r="C95" s="279"/>
      <c r="D95" s="373"/>
      <c r="E95" s="374"/>
      <c r="F95" s="375"/>
      <c r="G95" s="373"/>
      <c r="H95" s="374"/>
      <c r="I95" s="375"/>
      <c r="J95" s="373"/>
      <c r="K95" s="374"/>
      <c r="L95" s="375"/>
      <c r="M95" s="373"/>
      <c r="N95" s="374"/>
      <c r="O95" s="376"/>
      <c r="P95" s="373"/>
      <c r="Q95" s="374"/>
      <c r="R95" s="372"/>
      <c r="S95" s="373"/>
      <c r="T95" s="374"/>
      <c r="U95" s="294"/>
      <c r="V95" s="295"/>
      <c r="W95" s="300"/>
      <c r="X95" s="228"/>
    </row>
    <row r="96" spans="2:24" x14ac:dyDescent="0.25">
      <c r="B96" s="277"/>
      <c r="C96" s="279"/>
      <c r="D96" s="373"/>
      <c r="E96" s="374"/>
      <c r="F96" s="375"/>
      <c r="G96" s="373"/>
      <c r="H96" s="374"/>
      <c r="I96" s="375"/>
      <c r="J96" s="373"/>
      <c r="K96" s="374"/>
      <c r="L96" s="375"/>
      <c r="M96" s="373"/>
      <c r="N96" s="374"/>
      <c r="O96" s="376"/>
      <c r="P96" s="373"/>
      <c r="Q96" s="374"/>
      <c r="R96" s="372"/>
      <c r="S96" s="373"/>
      <c r="T96" s="374"/>
      <c r="U96" s="294"/>
      <c r="V96" s="295"/>
      <c r="W96" s="300"/>
      <c r="X96" s="228"/>
    </row>
    <row r="97" spans="2:24" x14ac:dyDescent="0.25">
      <c r="B97" s="277"/>
      <c r="C97" s="279"/>
      <c r="D97" s="373"/>
      <c r="E97" s="374"/>
      <c r="F97" s="375"/>
      <c r="G97" s="373"/>
      <c r="H97" s="374"/>
      <c r="I97" s="375"/>
      <c r="J97" s="373"/>
      <c r="K97" s="374"/>
      <c r="L97" s="375"/>
      <c r="M97" s="373"/>
      <c r="N97" s="374"/>
      <c r="O97" s="376"/>
      <c r="P97" s="373"/>
      <c r="Q97" s="374"/>
      <c r="R97" s="372"/>
      <c r="S97" s="373"/>
      <c r="T97" s="374"/>
      <c r="U97" s="294"/>
      <c r="V97" s="295"/>
      <c r="W97" s="300"/>
      <c r="X97" s="228"/>
    </row>
    <row r="98" spans="2:24" ht="15.75" thickBot="1" x14ac:dyDescent="0.3">
      <c r="B98" s="280"/>
      <c r="C98" s="281"/>
      <c r="D98" s="377"/>
      <c r="E98" s="378"/>
      <c r="F98" s="379"/>
      <c r="G98" s="377"/>
      <c r="H98" s="378"/>
      <c r="I98" s="379"/>
      <c r="J98" s="377"/>
      <c r="K98" s="378"/>
      <c r="L98" s="379"/>
      <c r="M98" s="377"/>
      <c r="N98" s="378"/>
      <c r="O98" s="380"/>
      <c r="P98" s="377"/>
      <c r="Q98" s="378"/>
      <c r="R98" s="381"/>
      <c r="S98" s="377"/>
      <c r="T98" s="378"/>
      <c r="U98" s="301"/>
      <c r="V98" s="302"/>
      <c r="W98" s="303"/>
      <c r="X98" s="229"/>
    </row>
    <row r="99" spans="2:24" ht="15.75" thickTop="1" x14ac:dyDescent="0.25"/>
  </sheetData>
  <sortState ref="B2:W97">
    <sortCondition ref="B2:B97"/>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L41"/>
  <sheetViews>
    <sheetView view="pageBreakPreview" zoomScaleNormal="100" zoomScaleSheetLayoutView="100" workbookViewId="0">
      <selection sqref="A1:E1"/>
    </sheetView>
  </sheetViews>
  <sheetFormatPr baseColWidth="10" defaultRowHeight="15" x14ac:dyDescent="0.25"/>
  <cols>
    <col min="1" max="1" width="2.28515625" style="51" customWidth="1"/>
    <col min="2" max="2" width="25.28515625" bestFit="1" customWidth="1"/>
    <col min="3" max="3" width="12" bestFit="1" customWidth="1"/>
    <col min="4" max="4" width="18.85546875" bestFit="1" customWidth="1"/>
    <col min="5" max="5" width="13.5703125" customWidth="1"/>
  </cols>
  <sheetData>
    <row r="1" spans="1:7" s="51" customFormat="1" x14ac:dyDescent="0.25">
      <c r="A1" s="309" t="s">
        <v>265</v>
      </c>
      <c r="B1" s="309"/>
      <c r="C1" s="309"/>
      <c r="D1" s="309"/>
      <c r="E1" s="309"/>
    </row>
    <row r="2" spans="1:7" s="51" customFormat="1" ht="21" customHeight="1" x14ac:dyDescent="0.25">
      <c r="B2" s="64" t="s">
        <v>123</v>
      </c>
    </row>
    <row r="3" spans="1:7" s="51" customFormat="1" ht="15" customHeight="1" x14ac:dyDescent="0.25">
      <c r="B3" s="346" t="s">
        <v>402</v>
      </c>
      <c r="C3" s="346"/>
      <c r="D3" s="346"/>
      <c r="E3" s="346"/>
    </row>
    <row r="4" spans="1:7" s="51" customFormat="1" x14ac:dyDescent="0.25">
      <c r="B4" s="346"/>
      <c r="C4" s="346"/>
      <c r="D4" s="346"/>
      <c r="E4" s="346"/>
    </row>
    <row r="5" spans="1:7" s="51" customFormat="1" x14ac:dyDescent="0.25">
      <c r="B5" s="346"/>
      <c r="C5" s="346"/>
      <c r="D5" s="346"/>
      <c r="E5" s="346"/>
    </row>
    <row r="6" spans="1:7" s="51" customFormat="1" x14ac:dyDescent="0.25">
      <c r="B6" s="346"/>
      <c r="C6" s="346"/>
      <c r="D6" s="346"/>
      <c r="E6" s="346"/>
    </row>
    <row r="7" spans="1:7" s="51" customFormat="1" x14ac:dyDescent="0.25">
      <c r="B7" s="346"/>
      <c r="C7" s="346"/>
      <c r="D7" s="346"/>
      <c r="E7" s="346"/>
    </row>
    <row r="8" spans="1:7" s="51" customFormat="1" x14ac:dyDescent="0.25">
      <c r="B8" s="346"/>
      <c r="C8" s="346"/>
      <c r="D8" s="346"/>
      <c r="E8" s="346"/>
    </row>
    <row r="9" spans="1:7" s="51" customFormat="1" x14ac:dyDescent="0.25">
      <c r="B9" s="346"/>
      <c r="C9" s="346"/>
      <c r="D9" s="346"/>
      <c r="E9" s="346"/>
    </row>
    <row r="10" spans="1:7" s="51" customFormat="1" x14ac:dyDescent="0.25">
      <c r="B10" s="346"/>
      <c r="C10" s="346"/>
      <c r="D10" s="346"/>
      <c r="E10" s="346"/>
    </row>
    <row r="11" spans="1:7" s="51" customFormat="1" x14ac:dyDescent="0.25">
      <c r="B11" s="346"/>
      <c r="C11" s="346"/>
      <c r="D11" s="346"/>
      <c r="E11" s="346"/>
    </row>
    <row r="12" spans="1:7" s="51" customFormat="1" x14ac:dyDescent="0.25">
      <c r="B12" s="346"/>
      <c r="C12" s="346"/>
      <c r="D12" s="346"/>
      <c r="E12" s="346"/>
    </row>
    <row r="13" spans="1:7" s="51" customFormat="1" x14ac:dyDescent="0.25">
      <c r="B13" s="346"/>
      <c r="C13" s="346"/>
      <c r="D13" s="346"/>
      <c r="E13" s="346"/>
    </row>
    <row r="14" spans="1:7" s="51" customFormat="1" x14ac:dyDescent="0.25">
      <c r="B14" s="346"/>
      <c r="C14" s="346"/>
      <c r="D14" s="346"/>
      <c r="E14" s="346"/>
    </row>
    <row r="15" spans="1:7" s="51" customFormat="1" ht="24" customHeight="1" x14ac:dyDescent="0.25">
      <c r="B15" s="346"/>
      <c r="C15" s="346"/>
      <c r="D15" s="346"/>
      <c r="E15" s="346"/>
    </row>
    <row r="16" spans="1:7" ht="6.75" customHeight="1" x14ac:dyDescent="0.25">
      <c r="G16" s="51"/>
    </row>
    <row r="17" spans="1:12" x14ac:dyDescent="0.25">
      <c r="A17" s="309" t="s">
        <v>264</v>
      </c>
      <c r="B17" s="309"/>
      <c r="C17" s="309"/>
      <c r="D17" s="309"/>
      <c r="E17" s="309"/>
      <c r="F17" s="10"/>
      <c r="G17" s="10"/>
      <c r="H17" s="10"/>
      <c r="I17" s="10"/>
      <c r="J17" s="10"/>
      <c r="K17" s="10"/>
      <c r="L17" s="17"/>
    </row>
    <row r="18" spans="1:12" x14ac:dyDescent="0.25">
      <c r="B18" s="50"/>
      <c r="C18" s="50"/>
      <c r="F18" s="17"/>
      <c r="G18" s="17"/>
      <c r="H18" s="17"/>
      <c r="I18" s="17"/>
      <c r="J18" s="17"/>
      <c r="K18" s="17"/>
      <c r="L18" s="17"/>
    </row>
    <row r="19" spans="1:12" x14ac:dyDescent="0.25">
      <c r="A19" s="50"/>
      <c r="B19" s="219" t="s">
        <v>23</v>
      </c>
      <c r="C19" s="221">
        <f>IF(ISNUMBER('Data input and defaults'!B39),'Data input and defaults'!B39,'Data input and defaults'!B41)</f>
        <v>410256.41025641025</v>
      </c>
    </row>
    <row r="20" spans="1:12" s="51" customFormat="1" x14ac:dyDescent="0.25">
      <c r="A20" s="50"/>
      <c r="B20" s="220" t="s">
        <v>414</v>
      </c>
      <c r="C20" s="222">
        <f>IF(ISNUMBER('Data input and defaults'!B39),'Data input and defaults'!B39,'Data input and defaults'!B42)</f>
        <v>410256.41025641025</v>
      </c>
    </row>
    <row r="21" spans="1:12" ht="15.75" thickBot="1" x14ac:dyDescent="0.3">
      <c r="C21" s="18"/>
    </row>
    <row r="22" spans="1:12" ht="15.75" thickTop="1" x14ac:dyDescent="0.25">
      <c r="B22" s="123" t="s">
        <v>24</v>
      </c>
      <c r="C22" s="124"/>
      <c r="D22" s="125" t="s">
        <v>26</v>
      </c>
    </row>
    <row r="23" spans="1:12" x14ac:dyDescent="0.25">
      <c r="B23" s="118" t="s">
        <v>306</v>
      </c>
      <c r="C23" s="109">
        <f>EF_Drilling_TSP*C19/1000</f>
        <v>242.05128205128204</v>
      </c>
      <c r="D23" s="110">
        <f>C23/$C$23</f>
        <v>1</v>
      </c>
    </row>
    <row r="24" spans="1:12" x14ac:dyDescent="0.25">
      <c r="B24" s="118" t="s">
        <v>307</v>
      </c>
      <c r="C24" s="109">
        <f>EF_Drilling_PM10*C19/1000</f>
        <v>127.17948717948717</v>
      </c>
      <c r="D24" s="110">
        <f t="shared" ref="D24:D25" si="0">C24/$C$23</f>
        <v>0.52542372881355925</v>
      </c>
    </row>
    <row r="25" spans="1:12" ht="15.75" thickBot="1" x14ac:dyDescent="0.3">
      <c r="B25" s="119" t="s">
        <v>308</v>
      </c>
      <c r="C25" s="111">
        <f>EF_Drilling_PM2.5*C19/1000</f>
        <v>127.17948717948717</v>
      </c>
      <c r="D25" s="112">
        <f t="shared" si="0"/>
        <v>0.52542372881355925</v>
      </c>
    </row>
    <row r="26" spans="1:12" ht="16.5" thickTop="1" thickBot="1" x14ac:dyDescent="0.3"/>
    <row r="27" spans="1:12" ht="15.75" thickTop="1" x14ac:dyDescent="0.25">
      <c r="B27" s="123" t="s">
        <v>25</v>
      </c>
      <c r="C27" s="124"/>
      <c r="D27" s="125" t="s">
        <v>26</v>
      </c>
    </row>
    <row r="28" spans="1:12" x14ac:dyDescent="0.25">
      <c r="B28" s="118" t="s">
        <v>306</v>
      </c>
      <c r="C28" s="113">
        <f>EF_Blasting_TSP*C20/1000*Hole_surface^1.5</f>
        <v>4.2305134965444156</v>
      </c>
      <c r="D28" s="110">
        <f>C28/$C$28</f>
        <v>1</v>
      </c>
    </row>
    <row r="29" spans="1:12" x14ac:dyDescent="0.25">
      <c r="B29" s="118" t="s">
        <v>307</v>
      </c>
      <c r="C29" s="113">
        <f>EF_Blasting_PM10*C20/1000*Hole_surface^1.5</f>
        <v>2.1998670182030957</v>
      </c>
      <c r="D29" s="110">
        <f t="shared" ref="D29:D30" si="1">C29/$C$28</f>
        <v>0.51999999999999991</v>
      </c>
    </row>
    <row r="30" spans="1:12" ht="15.75" thickBot="1" x14ac:dyDescent="0.3">
      <c r="B30" s="119" t="s">
        <v>308</v>
      </c>
      <c r="C30" s="114">
        <f>EF_Blasting_PM2.5*C20/1000*Hole_surface^1.5</f>
        <v>0.12691540489633243</v>
      </c>
      <c r="D30" s="112">
        <f t="shared" si="1"/>
        <v>2.9999999999999992E-2</v>
      </c>
    </row>
    <row r="31" spans="1:12" ht="16.5" thickTop="1" thickBot="1" x14ac:dyDescent="0.3"/>
    <row r="32" spans="1:12" ht="15.75" thickTop="1" x14ac:dyDescent="0.25">
      <c r="B32" s="108" t="s">
        <v>114</v>
      </c>
      <c r="C32" s="122" t="s">
        <v>132</v>
      </c>
      <c r="D32" s="120" t="s">
        <v>3</v>
      </c>
    </row>
    <row r="33" spans="2:4" x14ac:dyDescent="0.25">
      <c r="B33" s="121" t="s">
        <v>309</v>
      </c>
      <c r="C33" s="20">
        <f>(C23+C28)*10^6/(Prod_CR*10^3)</f>
        <v>1.2314089777391322</v>
      </c>
      <c r="D33" s="115">
        <f>C33/$C$33</f>
        <v>1</v>
      </c>
    </row>
    <row r="34" spans="2:4" x14ac:dyDescent="0.25">
      <c r="B34" s="118" t="s">
        <v>310</v>
      </c>
      <c r="C34" s="20">
        <f>(C24+C29)*10^6/(Prod_CR*10^3)</f>
        <v>0.64689677098845144</v>
      </c>
      <c r="D34" s="115">
        <f>C34/$C$33</f>
        <v>0.52533056253670851</v>
      </c>
    </row>
    <row r="35" spans="2:4" ht="15.75" thickBot="1" x14ac:dyDescent="0.3">
      <c r="B35" s="119" t="s">
        <v>311</v>
      </c>
      <c r="C35" s="116">
        <f>(C25+C30)*10^6/(Prod_CR*10^3)</f>
        <v>0.63653201292191752</v>
      </c>
      <c r="D35" s="117">
        <f>C35/$C$33</f>
        <v>0.51691357171245478</v>
      </c>
    </row>
    <row r="36" spans="2:4" ht="15.75" thickTop="1" x14ac:dyDescent="0.25"/>
    <row r="38" spans="2:4" x14ac:dyDescent="0.25">
      <c r="C38" s="42"/>
      <c r="D38" s="42"/>
    </row>
    <row r="39" spans="2:4" x14ac:dyDescent="0.25">
      <c r="C39" s="42"/>
      <c r="D39" s="209"/>
    </row>
    <row r="40" spans="2:4" x14ac:dyDescent="0.25">
      <c r="C40" s="42"/>
      <c r="D40" s="209"/>
    </row>
    <row r="41" spans="2:4" x14ac:dyDescent="0.25">
      <c r="C41" s="42"/>
      <c r="D41" s="209"/>
    </row>
  </sheetData>
  <mergeCells count="3">
    <mergeCell ref="B3:E15"/>
    <mergeCell ref="A17:E17"/>
    <mergeCell ref="A1:E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R73"/>
  <sheetViews>
    <sheetView view="pageBreakPreview" zoomScaleNormal="100" zoomScaleSheetLayoutView="100" workbookViewId="0">
      <selection sqref="A1:H1"/>
    </sheetView>
  </sheetViews>
  <sheetFormatPr baseColWidth="10" defaultRowHeight="15" x14ac:dyDescent="0.25"/>
  <cols>
    <col min="1" max="1" width="2.85546875" style="51" customWidth="1"/>
    <col min="2" max="2" width="2.5703125" customWidth="1"/>
    <col min="3" max="3" width="29.85546875" bestFit="1" customWidth="1"/>
    <col min="4" max="4" width="13.42578125" bestFit="1" customWidth="1"/>
    <col min="5" max="5" width="16.42578125" bestFit="1" customWidth="1"/>
    <col min="6" max="6" width="13.5703125" bestFit="1" customWidth="1"/>
    <col min="7" max="7" width="5.85546875" customWidth="1"/>
    <col min="8" max="8" width="2.28515625" customWidth="1"/>
    <col min="13" max="15" width="12.5703125" bestFit="1" customWidth="1"/>
  </cols>
  <sheetData>
    <row r="1" spans="1:8" s="51" customFormat="1" x14ac:dyDescent="0.25">
      <c r="A1" s="309" t="s">
        <v>262</v>
      </c>
      <c r="B1" s="309"/>
      <c r="C1" s="309"/>
      <c r="D1" s="309"/>
      <c r="E1" s="309"/>
      <c r="F1" s="309"/>
      <c r="G1" s="309"/>
      <c r="H1" s="309"/>
    </row>
    <row r="2" spans="1:8" s="51" customFormat="1" ht="18" customHeight="1" x14ac:dyDescent="0.25">
      <c r="B2" s="64" t="s">
        <v>123</v>
      </c>
    </row>
    <row r="3" spans="1:8" s="51" customFormat="1" ht="15" customHeight="1" x14ac:dyDescent="0.25">
      <c r="B3" s="347" t="s">
        <v>403</v>
      </c>
      <c r="C3" s="347"/>
      <c r="D3" s="347"/>
      <c r="E3" s="347"/>
      <c r="F3" s="347"/>
      <c r="G3" s="347"/>
      <c r="H3" s="65"/>
    </row>
    <row r="4" spans="1:8" s="51" customFormat="1" x14ac:dyDescent="0.25">
      <c r="B4" s="347"/>
      <c r="C4" s="347"/>
      <c r="D4" s="347"/>
      <c r="E4" s="347"/>
      <c r="F4" s="347"/>
      <c r="G4" s="347"/>
      <c r="H4" s="65"/>
    </row>
    <row r="5" spans="1:8" s="51" customFormat="1" x14ac:dyDescent="0.25">
      <c r="B5" s="347"/>
      <c r="C5" s="347"/>
      <c r="D5" s="347"/>
      <c r="E5" s="347"/>
      <c r="F5" s="347"/>
      <c r="G5" s="347"/>
      <c r="H5" s="65"/>
    </row>
    <row r="6" spans="1:8" s="51" customFormat="1" x14ac:dyDescent="0.25">
      <c r="B6" s="347"/>
      <c r="C6" s="347"/>
      <c r="D6" s="347"/>
      <c r="E6" s="347"/>
      <c r="F6" s="347"/>
      <c r="G6" s="347"/>
      <c r="H6" s="65"/>
    </row>
    <row r="7" spans="1:8" s="51" customFormat="1" x14ac:dyDescent="0.25">
      <c r="B7" s="347"/>
      <c r="C7" s="347"/>
      <c r="D7" s="347"/>
      <c r="E7" s="347"/>
      <c r="F7" s="347"/>
      <c r="G7" s="347"/>
      <c r="H7" s="65"/>
    </row>
    <row r="8" spans="1:8" s="51" customFormat="1" x14ac:dyDescent="0.25">
      <c r="B8" s="347"/>
      <c r="C8" s="347"/>
      <c r="D8" s="347"/>
      <c r="E8" s="347"/>
      <c r="F8" s="347"/>
      <c r="G8" s="347"/>
      <c r="H8" s="65"/>
    </row>
    <row r="9" spans="1:8" s="51" customFormat="1" x14ac:dyDescent="0.25">
      <c r="B9" s="347"/>
      <c r="C9" s="347"/>
      <c r="D9" s="347"/>
      <c r="E9" s="347"/>
      <c r="F9" s="347"/>
      <c r="G9" s="347"/>
      <c r="H9" s="65"/>
    </row>
    <row r="10" spans="1:8" s="51" customFormat="1" x14ac:dyDescent="0.25">
      <c r="B10" s="347"/>
      <c r="C10" s="347"/>
      <c r="D10" s="347"/>
      <c r="E10" s="347"/>
      <c r="F10" s="347"/>
      <c r="G10" s="347"/>
      <c r="H10" s="65"/>
    </row>
    <row r="11" spans="1:8" s="51" customFormat="1" x14ac:dyDescent="0.25">
      <c r="B11" s="347"/>
      <c r="C11" s="347"/>
      <c r="D11" s="347"/>
      <c r="E11" s="347"/>
      <c r="F11" s="347"/>
      <c r="G11" s="347"/>
      <c r="H11" s="65"/>
    </row>
    <row r="12" spans="1:8" s="51" customFormat="1" x14ac:dyDescent="0.25">
      <c r="B12" s="347"/>
      <c r="C12" s="347"/>
      <c r="D12" s="347"/>
      <c r="E12" s="347"/>
      <c r="F12" s="347"/>
      <c r="G12" s="347"/>
      <c r="H12" s="65"/>
    </row>
    <row r="13" spans="1:8" s="51" customFormat="1" x14ac:dyDescent="0.25">
      <c r="B13" s="347"/>
      <c r="C13" s="347"/>
      <c r="D13" s="347"/>
      <c r="E13" s="347"/>
      <c r="F13" s="347"/>
      <c r="G13" s="347"/>
      <c r="H13" s="65"/>
    </row>
    <row r="14" spans="1:8" s="51" customFormat="1" x14ac:dyDescent="0.25">
      <c r="B14" s="347"/>
      <c r="C14" s="347"/>
      <c r="D14" s="347"/>
      <c r="E14" s="347"/>
      <c r="F14" s="347"/>
      <c r="G14" s="347"/>
      <c r="H14" s="65"/>
    </row>
    <row r="15" spans="1:8" s="51" customFormat="1" x14ac:dyDescent="0.25">
      <c r="B15" s="347"/>
      <c r="C15" s="347"/>
      <c r="D15" s="347"/>
      <c r="E15" s="347"/>
      <c r="F15" s="347"/>
      <c r="G15" s="347"/>
      <c r="H15" s="65"/>
    </row>
    <row r="16" spans="1:8" s="51" customFormat="1" x14ac:dyDescent="0.25">
      <c r="B16" s="347"/>
      <c r="C16" s="347"/>
      <c r="D16" s="347"/>
      <c r="E16" s="347"/>
      <c r="F16" s="347"/>
      <c r="G16" s="347"/>
      <c r="H16" s="65"/>
    </row>
    <row r="17" spans="1:8" s="51" customFormat="1" x14ac:dyDescent="0.25">
      <c r="B17" s="347"/>
      <c r="C17" s="347"/>
      <c r="D17" s="347"/>
      <c r="E17" s="347"/>
      <c r="F17" s="347"/>
      <c r="G17" s="347"/>
      <c r="H17" s="65"/>
    </row>
    <row r="18" spans="1:8" s="51" customFormat="1" x14ac:dyDescent="0.25">
      <c r="B18" s="347"/>
      <c r="C18" s="347"/>
      <c r="D18" s="347"/>
      <c r="E18" s="347"/>
      <c r="F18" s="347"/>
      <c r="G18" s="347"/>
      <c r="H18" s="65"/>
    </row>
    <row r="19" spans="1:8" s="51" customFormat="1" x14ac:dyDescent="0.25">
      <c r="B19" s="347"/>
      <c r="C19" s="347"/>
      <c r="D19" s="347"/>
      <c r="E19" s="347"/>
      <c r="F19" s="347"/>
      <c r="G19" s="347"/>
      <c r="H19" s="65"/>
    </row>
    <row r="20" spans="1:8" s="51" customFormat="1" x14ac:dyDescent="0.25">
      <c r="B20" s="347"/>
      <c r="C20" s="347"/>
      <c r="D20" s="347"/>
      <c r="E20" s="347"/>
      <c r="F20" s="347"/>
      <c r="G20" s="347"/>
      <c r="H20" s="65"/>
    </row>
    <row r="21" spans="1:8" s="51" customFormat="1" x14ac:dyDescent="0.25">
      <c r="B21" s="347"/>
      <c r="C21" s="347"/>
      <c r="D21" s="347"/>
      <c r="E21" s="347"/>
      <c r="F21" s="347"/>
      <c r="G21" s="347"/>
      <c r="H21" s="65"/>
    </row>
    <row r="22" spans="1:8" s="51" customFormat="1" x14ac:dyDescent="0.25">
      <c r="B22" s="347"/>
      <c r="C22" s="347"/>
      <c r="D22" s="347"/>
      <c r="E22" s="347"/>
      <c r="F22" s="347"/>
      <c r="G22" s="347"/>
      <c r="H22" s="65"/>
    </row>
    <row r="23" spans="1:8" s="51" customFormat="1" ht="174.75" customHeight="1" x14ac:dyDescent="0.25">
      <c r="B23" s="347"/>
      <c r="C23" s="347"/>
      <c r="D23" s="347"/>
      <c r="E23" s="347"/>
      <c r="F23" s="347"/>
      <c r="G23" s="347"/>
      <c r="H23" s="65"/>
    </row>
    <row r="24" spans="1:8" ht="6.75" customHeight="1" x14ac:dyDescent="0.25"/>
    <row r="25" spans="1:8" x14ac:dyDescent="0.25">
      <c r="A25" s="309" t="s">
        <v>263</v>
      </c>
      <c r="B25" s="309"/>
      <c r="C25" s="309"/>
      <c r="D25" s="309"/>
      <c r="E25" s="309"/>
      <c r="F25" s="309"/>
      <c r="G25" s="309"/>
      <c r="H25" s="309"/>
    </row>
    <row r="27" spans="1:8" x14ac:dyDescent="0.25">
      <c r="B27" s="351" t="s">
        <v>28</v>
      </c>
      <c r="C27" s="351"/>
      <c r="D27" s="351"/>
      <c r="E27" s="351"/>
      <c r="F27" s="351"/>
      <c r="G27" s="351"/>
    </row>
    <row r="28" spans="1:8" ht="15.75" thickBot="1" x14ac:dyDescent="0.3"/>
    <row r="29" spans="1:8" ht="15.75" thickTop="1" x14ac:dyDescent="0.25">
      <c r="B29" s="46"/>
      <c r="C29" s="348" t="s">
        <v>2</v>
      </c>
      <c r="D29" s="349"/>
      <c r="E29" s="349"/>
      <c r="F29" s="350"/>
    </row>
    <row r="30" spans="1:8" x14ac:dyDescent="0.25">
      <c r="C30" s="38"/>
      <c r="D30" s="39" t="s">
        <v>31</v>
      </c>
      <c r="E30" s="40" t="s">
        <v>32</v>
      </c>
      <c r="F30" s="39" t="s">
        <v>33</v>
      </c>
    </row>
    <row r="31" spans="1:8" x14ac:dyDescent="0.25">
      <c r="C31" s="34" t="s">
        <v>312</v>
      </c>
      <c r="D31" s="87">
        <f>(NB_P_Unit_LQ_CR*Flow_P_Crush_CR+NB_S_Unit_LQ_CR*Flow_S_Crush_CR+NB_T_Unit_LQ_CR*Flow_T_Crush_CR)*((1-Wet_Proc_perc_LQ_CR)*EF_Crush_Dry_TSP_CR*(1-Crush_Aba_DP_LQ_CR)+Wet_Proc_perc_LQ_CR*EF_Crush_Wet_TSP_CR*(1-Crush_Aba_WP_LQ_CR))</f>
        <v>1.5415191000000004</v>
      </c>
      <c r="E31" s="87">
        <f>(NB_P_Unit_MQ_CR*Flow_P_Crush_CR+NB_S_Unit_MQ_CR*Flow_S_Crush_CR+NB_T_Unit_MQ_CR*Flow_T_Crush_CR)*((1-Wet_Proc_perc_MQ_CR)*EF_Crush_Dry_TSP_CR*(1-Crush_Aba_DP_MQ_CR)+Wet_Proc_perc_MQ_CR*EF_Crush_Wet_TSP_CR*(1-Crush_Aba_WP_MQ_CR))</f>
        <v>2.2851628875000012</v>
      </c>
      <c r="F31" s="87">
        <f>(NB_P_Unit_SQ_CR*Flow_P_Crush_CR+NB_S_Unit_SQ_CR*Flow_S_Crush_CR+NB_T_Unit_SQ_CR*Flow_T_Crush_CR)*((1-Wet_Proc_perc_SQ_CR)*EF_Crush_Dry_TSP_CR*(1-Crush_Aba_DP_SQ_CR)+Wet_Proc_perc_SQ_CR*EF_Crush_Wet_TSP_CR*(1-Crush_Aba_WP_SQ_CR))</f>
        <v>3.375</v>
      </c>
    </row>
    <row r="32" spans="1:8" x14ac:dyDescent="0.25">
      <c r="C32" s="34" t="s">
        <v>313</v>
      </c>
      <c r="D32" s="87">
        <f>(NB_P_Unit_LQ_CR*Flow_P_Crush_CR+NB_S_Unit_LQ_CR*Flow_S_Crush_CR+NB_T_Unit_LQ_CR*Flow_T_Crush_CR)*((1-Wet_Proc_perc_LQ_CR)*EF_Crush_Dry_PM10_CR*(1-Crush_Aba_DP_LQ_CR)+Wet_Proc_perc_LQ_CR*EF_Crush_Wet_PM10_CR*(1-Crush_Aba_WP_LQ_CR))</f>
        <v>0.68511960000000005</v>
      </c>
      <c r="E32" s="87">
        <f>(NB_P_Unit_MQ_CR*Flow_P_Crush_CR+NB_S_Unit_MQ_CR*Flow_S_Crush_CR+NB_T_Unit_MQ_CR*Flow_T_Crush_CR)*((1-Wet_Proc_perc_MQ_CR)*EF_Crush_Dry_PM10_CR*(1-Crush_Aba_DP_MQ_CR)+Wet_Proc_perc_MQ_CR*EF_Crush_Wet_PM10_CR*(1-Crush_Aba_WP_MQ_CR))</f>
        <v>1.0156279500000003</v>
      </c>
      <c r="F32" s="87">
        <f>(NB_P_Unit_SQ_CR*Flow_P_Crush_CR+NB_S_Unit_SQ_CR*Flow_S_Crush_CR+NB_T_Unit_SQ_CR*Flow_T_Crush_CR)*((1-Wet_Proc_perc_SQ_CR)*EF_Crush_Dry_PM10_CR*(1-Crush_Aba_DP_SQ_CR)+Wet_Proc_perc_SQ_CR*EF_Crush_Wet_PM10_CR*(1-Crush_Aba_WP_SQ_CR))</f>
        <v>1.5</v>
      </c>
    </row>
    <row r="33" spans="3:15" x14ac:dyDescent="0.25">
      <c r="C33" s="34" t="s">
        <v>314</v>
      </c>
      <c r="D33" s="89">
        <f>(NB_P_Unit_LQ_CR*Flow_P_Crush_CR+NB_S_Unit_LQ_CR*Flow_S_Crush_CR+NB_T_Unit_LQ_CR*Flow_T_Crush_CR)*((1-Wet_Proc_perc_LQ_CR)*EF_Crush_Dry_PM2.5_CR*(1-Crush_Aba_DP_LQ_CR)+Wet_Proc_perc_LQ_CR*EF_Crush_Wet_PM2.5_CR*(1-Crush_Aba_WP_LQ_CR))</f>
        <v>0.34255980000000003</v>
      </c>
      <c r="E33" s="89">
        <f>(NB_P_Unit_MQ_CR*Flow_P_Crush_CR+NB_S_Unit_MQ_CR*Flow_S_Crush_CR+NB_T_Unit_MQ_CR*Flow_T_Crush_CR)*((1-Wet_Proc_perc_MQ_CR)*EF_Crush_Dry_PM2.5_CR*(1-Crush_Aba_DP_MQ_CR)+Wet_Proc_perc_MQ_CR*EF_Crush_Wet_PM2.5_CR*(1-Crush_Aba_WP_MQ_CR))</f>
        <v>0.50781397500000014</v>
      </c>
      <c r="F33" s="89">
        <f>(NB_P_Unit_SQ_CR*Flow_P_Crush_CR+NB_S_Unit_SQ_CR*Flow_S_Crush_CR+NB_T_Unit_SQ_CR*Flow_T_Crush_CR)*((1-Wet_Proc_perc_SQ_CR)*EF_Crush_Dry_PM2.5_CR*(1-Crush_Aba_DP_SQ_CR)+Wet_Proc_perc_SQ_CR*EF_Crush_Wet_PM2.5_CR*(1-Crush_Aba_WP_SQ_CR))</f>
        <v>0.75</v>
      </c>
    </row>
    <row r="34" spans="3:15" x14ac:dyDescent="0.25">
      <c r="C34" s="36" t="s">
        <v>315</v>
      </c>
      <c r="D34" s="87">
        <f>(NB_P_Unit_LQ_CR*Flow_P_Screen_CR+NB_S_Unit_LQ_CR*Flow_S_Screen_CR+NB_T_Unit_LQ_CR*Flow_T_Screen_CR)*((1-Wet_Proc_perc_LQ_CR)*EF_Screen_Dry_TSP_CR*(1-Screen_Aba_DP_LQ_CR)+Wet_Proc_perc_LQ_CR*EF_Screen_Wet_TSP_CR*(1-Screen_Aba_WP_LQ_CR))</f>
        <v>25.910937500000003</v>
      </c>
      <c r="E34" s="87">
        <f>(NB_P_Unit_MQ_CR*Flow_P_Screen_CR+NB_S_Unit_MQ_CR*Flow_S_Screen_CR+NB_T_Unit_MQ_CR*Flow_T_Screen_CR)*((1-Wet_Proc_perc_MQ_CR)*EF_Screen_Dry_TSP_CR*(1-Screen_Aba_DP_MQ_CR)+Wet_Proc_perc_MQ_CR*EF_Screen_Wet_TSP_CR*(1-Screen_Aba_WP_MQ_CR))</f>
        <v>28.003125000000001</v>
      </c>
      <c r="F34" s="87">
        <f>(NB_P_Unit_SQ_CR*Flow_P_Screen_CR+NB_S_Unit_SQ_CR*Flow_S_Screen_CR+NB_T_Unit_SQ_CR*Flow_T_Screen_CR)*((1-Wet_Proc_perc_SQ_CR)*EF_Screen_Dry_TSP_CR*(1-Screen_Aba_DP_SQ_CR)+Wet_Proc_perc_SQ_CR*EF_Screen_Wet_TSP_CR*(1-Screen_Aba_WP_SQ_CR))</f>
        <v>18.125</v>
      </c>
    </row>
    <row r="35" spans="3:15" x14ac:dyDescent="0.25">
      <c r="C35" s="34" t="s">
        <v>316</v>
      </c>
      <c r="D35" s="87">
        <f>(NB_P_Unit_LQ_CR*Flow_P_Screen_CR+NB_S_Unit_LQ_CR*Flow_S_Screen_CR+NB_T_Unit_LQ_CR*Flow_T_Screen_CR)*((1-Wet_Proc_perc_LQ_CR)*EF_Screen_Dry_PM10_CR*(1-Screen_Aba_DP_LQ_CR)+Wet_Proc_perc_LQ_CR*EF_Screen_Wet_PM10_CR*(1-Screen_Aba_WP_LQ_CR))</f>
        <v>8.9133624999999999</v>
      </c>
      <c r="E35" s="87">
        <f>(NB_P_Unit_MQ_CR*Flow_P_Screen_CR+NB_S_Unit_MQ_CR*Flow_S_Screen_CR+NB_T_Unit_MQ_CR*Flow_T_Screen_CR)*((1-Wet_Proc_perc_MQ_CR)*EF_Screen_Dry_PM10_CR*(1-Screen_Aba_DP_MQ_CR)+Wet_Proc_perc_MQ_CR*EF_Screen_Wet_PM10_CR*(1-Screen_Aba_WP_MQ_CR))</f>
        <v>9.6330749999999998</v>
      </c>
      <c r="F35" s="87">
        <f>(NB_P_Unit_SQ_CR*Flow_P_Screen_CR+NB_S_Unit_SQ_CR*Flow_S_Screen_CR+NB_T_Unit_SQ_CR*Flow_T_Screen_CR)*((1-Wet_Proc_perc_SQ_CR)*EF_Screen_Dry_PM10_CR*(1-Screen_Aba_DP_SQ_CR)+Wet_Proc_perc_SQ_CR*EF_Screen_Wet_PM10_CR*(1-Screen_Aba_WP_SQ_CR))</f>
        <v>6.2349999999999994</v>
      </c>
    </row>
    <row r="36" spans="3:15" x14ac:dyDescent="0.25">
      <c r="C36" s="37" t="s">
        <v>317</v>
      </c>
      <c r="D36" s="87">
        <f>(NB_P_Unit_LQ_CR*Flow_P_Screen_CR+NB_S_Unit_LQ_CR*Flow_S_Screen_CR+NB_T_Unit_LQ_CR*Flow_T_Screen_CR)*((1-Wet_Proc_perc_LQ_CR)*EF_Screen_Dry_PM2.5_CR*(1-Screen_Aba_DP_LQ_CR)+Wet_Proc_perc_LQ_CR*EF_Screen_Wet_PM2.5_CR*(1-Screen_Aba_WP_LQ_CR))</f>
        <v>0.58888494318181805</v>
      </c>
      <c r="E36" s="87">
        <f>(NB_P_Unit_MQ_CR*Flow_P_Screen_CR+NB_S_Unit_MQ_CR*Flow_S_Screen_CR+NB_T_Unit_MQ_CR*Flow_T_Screen_CR)*((1-Wet_Proc_perc_MQ_CR)*EF_Screen_Dry_PM2.5_CR*(1-Screen_Aba_DP_MQ_CR)+Wet_Proc_perc_MQ_CR*EF_Screen_Wet_PM2.5_CR*(1-Screen_Aba_WP_MQ_CR))</f>
        <v>0.63643465909090902</v>
      </c>
      <c r="F36" s="87">
        <f>(NB_P_Unit_SQ_CR*Flow_P_Screen_CR+NB_S_Unit_SQ_CR*Flow_S_Screen_CR+NB_T_Unit_SQ_CR*Flow_T_Screen_CR)*((1-Wet_Proc_perc_SQ_CR)*EF_Screen_Dry_PM2.5_CR*(1-Screen_Aba_DP_SQ_CR)+Wet_Proc_perc_SQ_CR*EF_Screen_Wet_PM2.5_CR*(1-Screen_Aba_WP_SQ_CR))</f>
        <v>0.41193181818181812</v>
      </c>
    </row>
    <row r="37" spans="3:15" x14ac:dyDescent="0.25">
      <c r="C37" s="36" t="s">
        <v>318</v>
      </c>
      <c r="D37" s="88">
        <f>(NB_P_Unit_LQ_CR*Flow_P_TP_CR+NB_S_Unit_LQ_CR*Flow_S_TP_CR+NB_T_Unit_LQ_CR*Flow_T_TP_CR)*((1-Wet_Proc_perc_LQ_CR)*EF_TP_Dry_TSP_CR*(1-TP_Aba_DP_LQ_CR)+Wet_Proc_perc_LQ_CR*EF_TP_Wet_TSP_CR*(1-TP_Aba_WP_LQ_CR))</f>
        <v>8.3249999999999993</v>
      </c>
      <c r="E37" s="88">
        <f>(NB_P_Unit_MQ_CR*Flow_P_TP_CR+NB_S_Unit_MQ_CR*Flow_S_TP_CR+NB_T_Unit_MQ_CR*Flow_T_TP_CR)*((1-Wet_Proc_perc_MQ_CR)*EF_TP_Dry_TSP_CR*(1-TP_Aba_DP_MQ_CR)+Wet_Proc_perc_MQ_CR*EF_TP_Wet_TSP_CR*(1-TP_Aba_WP_MQ_CR))</f>
        <v>8.3249999999999993</v>
      </c>
      <c r="F37" s="88">
        <f>(NB_P_Unit_SQ_CR*Flow_P_TP_CR+NB_S_Unit_SQ_CR*Flow_S_TP_CR+NB_T_Unit_SQ_CR*Flow_T_TP_CR)*((1-Wet_Proc_perc_SQ_CR)*EF_TP_Dry_TSP_CR*(1-TP_Aba_DP_SQ_CR)+Wet_Proc_perc_SQ_CR*EF_TP_Wet_TSP_CR*(1-TP_Aba_WP_SQ_CR))</f>
        <v>5.5500000000000007</v>
      </c>
    </row>
    <row r="38" spans="3:15" x14ac:dyDescent="0.25">
      <c r="C38" s="34" t="s">
        <v>319</v>
      </c>
      <c r="D38" s="87">
        <f>(NB_P_Unit_LQ_CR*Flow_P_TP_CR+NB_S_Unit_LQ_CR*Flow_S_TP_CR+NB_T_Unit_LQ_CR*Flow_T_TP_CR)*((1-Wet_Proc_perc_LQ_CR)*EF_TP_Dry_PM10_CR*(1-TP_Aba_DP_LQ_CR)+Wet_Proc_perc_LQ_CR*EF_TP_Wet_PM10_CR*(1-TP_Aba_WP_LQ_CR))</f>
        <v>3.0525000000000002</v>
      </c>
      <c r="E38" s="87">
        <f>(NB_P_Unit_MQ_CR*Flow_P_TP_CR+NB_S_Unit_MQ_CR*Flow_S_TP_CR+NB_T_Unit_MQ_CR*Flow_T_TP_CR)*((1-Wet_Proc_perc_MQ_CR)*EF_TP_Dry_PM10_CR*(1-TP_Aba_DP_MQ_CR)+Wet_Proc_perc_MQ_CR*EF_TP_Wet_PM10_CR*(1-TP_Aba_WP_MQ_CR))</f>
        <v>3.0525000000000002</v>
      </c>
      <c r="F38" s="87">
        <f>(NB_P_Unit_SQ_CR*Flow_P_TP_CR+NB_S_Unit_SQ_CR*Flow_S_TP_CR+NB_T_Unit_SQ_CR*Flow_T_TP_CR)*((1-Wet_Proc_perc_SQ_CR)*EF_TP_Dry_PM10_CR*(1-TP_Aba_DP_SQ_CR)+Wet_Proc_perc_SQ_CR*EF_TP_Wet_PM10_CR*(1-TP_Aba_WP_SQ_CR))</f>
        <v>2.0350000000000001</v>
      </c>
    </row>
    <row r="39" spans="3:15" x14ac:dyDescent="0.25">
      <c r="C39" s="37" t="s">
        <v>320</v>
      </c>
      <c r="D39" s="89">
        <f>(NB_P_Unit_LQ_CR*Flow_P_TP_CR+NB_S_Unit_LQ_CR*Flow_S_TP_CR+NB_T_Unit_LQ_CR*Flow_T_TP_CR)*((1-Wet_Proc_perc_LQ_CR)*EF_TP_Dry_PM2.5_CR*(1-TP_Aba_DP_LQ_CR)+Wet_Proc_perc_LQ_CR*EF_TP_Wet_PM2.5_CR*(1-TP_Aba_WP_LQ_CR))</f>
        <v>0.77303571428571427</v>
      </c>
      <c r="E39" s="89">
        <f>(NB_P_Unit_MQ_CR*Flow_P_TP_CR+NB_S_Unit_MQ_CR*Flow_S_TP_CR+NB_T_Unit_MQ_CR*Flow_T_TP_CR)*((1-Wet_Proc_perc_MQ_CR)*EF_TP_Dry_PM2.5_CR*(1-TP_Aba_DP_MQ_CR)+Wet_Proc_perc_MQ_CR*EF_TP_Wet_PM2.5_CR*(1-TP_Aba_WP_MQ_CR))</f>
        <v>0.77303571428571427</v>
      </c>
      <c r="F39" s="89">
        <f>(NB_P_Unit_SQ_CR*Flow_P_TP_CR+NB_S_Unit_SQ_CR*Flow_S_TP_CR+NB_T_Unit_SQ_CR*Flow_T_TP_CR)*((1-Wet_Proc_perc_SQ_CR)*EF_TP_Dry_PM2.5_CR*(1-TP_Aba_DP_SQ_CR)+Wet_Proc_perc_SQ_CR*EF_TP_Wet_PM2.5_CR*(1-TP_Aba_WP_SQ_CR))</f>
        <v>0.51535714285714285</v>
      </c>
    </row>
    <row r="40" spans="3:15" x14ac:dyDescent="0.25">
      <c r="C40" s="34" t="s">
        <v>309</v>
      </c>
      <c r="D40" s="57">
        <f t="shared" ref="D40:F42" si="0">D31+D34+D37</f>
        <v>35.777456600000008</v>
      </c>
      <c r="E40" s="57">
        <f t="shared" si="0"/>
        <v>38.6132878875</v>
      </c>
      <c r="F40" s="57">
        <f t="shared" si="0"/>
        <v>27.05</v>
      </c>
      <c r="J40" s="42"/>
      <c r="M40" s="47"/>
      <c r="N40" s="47"/>
      <c r="O40" s="47"/>
    </row>
    <row r="41" spans="3:15" x14ac:dyDescent="0.25">
      <c r="C41" s="34" t="s">
        <v>310</v>
      </c>
      <c r="D41" s="57">
        <f t="shared" si="0"/>
        <v>12.6509821</v>
      </c>
      <c r="E41" s="57">
        <f t="shared" si="0"/>
        <v>13.701202950000001</v>
      </c>
      <c r="F41" s="57">
        <f t="shared" si="0"/>
        <v>9.77</v>
      </c>
      <c r="J41" s="42"/>
      <c r="M41" s="47"/>
      <c r="N41" s="47"/>
      <c r="O41" s="47"/>
    </row>
    <row r="42" spans="3:15" ht="15.75" thickBot="1" x14ac:dyDescent="0.3">
      <c r="C42" s="35" t="s">
        <v>311</v>
      </c>
      <c r="D42" s="58">
        <f t="shared" si="0"/>
        <v>1.7044804574675323</v>
      </c>
      <c r="E42" s="58">
        <f t="shared" si="0"/>
        <v>1.9172843483766235</v>
      </c>
      <c r="F42" s="58">
        <f t="shared" si="0"/>
        <v>1.677288961038961</v>
      </c>
      <c r="J42" s="42"/>
      <c r="M42" s="47"/>
      <c r="N42" s="47"/>
      <c r="O42" s="47"/>
    </row>
    <row r="43" spans="3:15" ht="16.5" thickTop="1" thickBot="1" x14ac:dyDescent="0.3"/>
    <row r="44" spans="3:15" ht="15.75" thickTop="1" x14ac:dyDescent="0.25">
      <c r="C44" s="348" t="s">
        <v>4</v>
      </c>
      <c r="D44" s="349"/>
      <c r="E44" s="349"/>
      <c r="F44" s="350"/>
    </row>
    <row r="45" spans="3:15" x14ac:dyDescent="0.25">
      <c r="C45" s="38"/>
      <c r="D45" s="39" t="s">
        <v>31</v>
      </c>
      <c r="E45" s="40" t="s">
        <v>32</v>
      </c>
      <c r="F45" s="39" t="s">
        <v>33</v>
      </c>
    </row>
    <row r="46" spans="3:15" x14ac:dyDescent="0.25">
      <c r="C46" s="34" t="s">
        <v>312</v>
      </c>
      <c r="D46" s="87">
        <f>(NB_P_Unit_LQ_SG*Flow_P_Crush_SG+NB_S_Unit_LQ_SG*Flow_S_Crush_SG+NB_T_Unit_LQ_SG*Flow_T_Crush_SG)*((1-Wet_Proc_perc_LQ_SG)*EF_Crush_Dry_TSP_SG*(1-Crush_Aba_DP_LQ_SG)+Wet_Proc_perc_LQ_SG*EF_Crush_Wet_TSP_SG*(1-Crush_Aba_WP_LQ_SG))</f>
        <v>1.0536966000000001</v>
      </c>
      <c r="E46" s="87">
        <f>(NB_P_Unit_MQ_SG*Flow_P_Crush_SG+NB_S_Unit_MQ_SG*Flow_S_Crush_SG+NB_T_Unit_MQ_SG*Flow_T_Crush_SG)*((1-Wet_Proc_perc_MQ_SG)*EF_Crush_Dry_TSP_SG*(1-Crush_Aba_DP_MQ_SG)+Wet_Proc_perc_MQ_SG*EF_Crush_Wet_TSP_SG*(1-Crush_Aba_WP_MQ_SG))</f>
        <v>1.5620100750000008</v>
      </c>
      <c r="F46" s="87">
        <f>(NB_P_Unit_SQ_SG*Flow_P_Crush_SG+NB_S_Unit_SQ_SG*Flow_S_Crush_SG+NB_T_Unit_SQ_SG*Flow_T_Crush_SG)*((1-Wet_Proc_perc_SQ_SG)*EF_Crush_Dry_TSP_SG*(1-Crush_Aba_DP_SQ_SG)+Wet_Proc_perc_SQ_SG*EF_Crush_Wet_TSP_SG*(1-Crush_Aba_WP_SQ_SG))</f>
        <v>1.2149999999999999</v>
      </c>
    </row>
    <row r="47" spans="3:15" x14ac:dyDescent="0.25">
      <c r="C47" s="34" t="s">
        <v>313</v>
      </c>
      <c r="D47" s="87">
        <f>(NB_P_Unit_LQ_SG*Flow_P_Crush_SG+NB_S_Unit_LQ_SG*Flow_S_Crush_SG+NB_T_Unit_LQ_SG*Flow_T_Crush_SG)*((1-Wet_Proc_perc_LQ_SG)*EF_Crush_Dry_PM10_CR*(1-Crush_Aba_DP_LQ_SG)+Wet_Proc_perc_LQ_SG*EF_Crush_Wet_PM10_CR*(1-Crush_Aba_WP_LQ_SG))</f>
        <v>0.46830959999999999</v>
      </c>
      <c r="E47" s="87">
        <f>(NB_P_Unit_MQ_SG*Flow_P_Crush_SG+NB_S_Unit_MQ_SG*Flow_S_Crush_SG+NB_T_Unit_MQ_SG*Flow_T_Crush_SG)*((1-Wet_Proc_perc_MQ_SG)*EF_Crush_Dry_PM10_CR*(1-Crush_Aba_DP_MQ_SG)+Wet_Proc_perc_MQ_SG*EF_Crush_Wet_PM10_CR*(1-Crush_Aba_WP_MQ_SG))</f>
        <v>0.6942267000000002</v>
      </c>
      <c r="F47" s="87">
        <f>(NB_P_Unit_SQ_SG*Flow_P_Crush_SG+NB_S_Unit_SQ_SG*Flow_S_Crush_SG+NB_T_Unit_SQ_SG*Flow_T_Crush_SG)*((1-Wet_Proc_perc_SQ_SG)*EF_Crush_Dry_PM10_CR*(1-Crush_Aba_DP_SQ_SG)+Wet_Proc_perc_SQ_SG*EF_Crush_Wet_PM10_CR*(1-Crush_Aba_WP_SQ_SG))</f>
        <v>0.53999999999999992</v>
      </c>
    </row>
    <row r="48" spans="3:15" x14ac:dyDescent="0.25">
      <c r="C48" s="34" t="s">
        <v>314</v>
      </c>
      <c r="D48" s="89">
        <f>(NB_P_Unit_LQ_SG*Flow_P_Crush_SG+NB_S_Unit_LQ_SG*Flow_S_Crush_SG+NB_T_Unit_LQ_SG*Flow_T_Crush_SG)*((1-Wet_Proc_perc_LQ_SG)*EF_Crush_Dry_PM2.5_CR*(1-Crush_Aba_DP_LQ_SG)+Wet_Proc_perc_LQ_SG*EF_Crush_Wet_PM2.5_CR*(1-Crush_Aba_WP_LQ_SG))</f>
        <v>0.2341548</v>
      </c>
      <c r="E48" s="89">
        <f>(NB_P_Unit_MQ_SG*Flow_P_Crush_SG+NB_S_Unit_MQ_SG*Flow_S_Crush_SG+NB_T_Unit_MQ_SG*Flow_T_Crush_SG)*((1-Wet_Proc_perc_MQ_SG)*EF_Crush_Dry_PM2.5_CR*(1-Crush_Aba_DP_MQ_SG)+Wet_Proc_perc_MQ_SG*EF_Crush_Wet_PM2.5_CR*(1-Crush_Aba_WP_MQ_SG))</f>
        <v>0.3471133500000001</v>
      </c>
      <c r="F48" s="89">
        <f>(NB_P_Unit_SQ_SG*Flow_P_Crush_SG+NB_S_Unit_SQ_SG*Flow_S_Crush_SG+NB_T_Unit_SQ_SG*Flow_T_Crush_SG)*((1-Wet_Proc_perc_SQ_SG)*EF_Crush_Dry_PM2.5_CR*(1-Crush_Aba_DP_SQ_SG)+Wet_Proc_perc_SQ_SG*EF_Crush_Wet_PM2.5_CR*(1-Crush_Aba_WP_SQ_SG))</f>
        <v>0.26999999999999996</v>
      </c>
    </row>
    <row r="49" spans="3:18" x14ac:dyDescent="0.25">
      <c r="C49" s="36" t="s">
        <v>315</v>
      </c>
      <c r="D49" s="87">
        <f>(NB_P_Unit_LQ_SG*Flow_P_Screen_SG+NB_S_Unit_LQ_SG*Flow_S_Screen_SG+NB_T_Unit_LQ_SG*Flow_T_Screen_SG)*((1-Wet_Proc_perc_LQ_SG)*EF_Screen_Dry_TSP_SG*(1-Screen_Aba_DP_LQ_SG)+Wet_Proc_perc_LQ_SG*EF_Screen_Wet_TSP_SG*(1-Screen_Aba_WP_LQ_SG))</f>
        <v>6.6412500000000021</v>
      </c>
      <c r="E49" s="87">
        <f>(NB_P_Unit_MQ_SG*Flow_P_Screen_SG+NB_S_Unit_MQ_SG*Flow_S_Screen_SG+NB_T_Unit_MQ_SG*Flow_T_Screen_SG)*((1-Wet_Proc_perc_MQ_SG)*EF_Screen_Dry_TSP_SG*(1-Screen_Aba_DP_MQ_SG)+Wet_Proc_perc_MQ_SG*EF_Screen_Wet_TSP_SG*(1-Screen_Aba_WP_MQ_SG))</f>
        <v>7.1775000000000011</v>
      </c>
      <c r="F49" s="87">
        <f>(NB_P_Unit_SQ_SG*Flow_P_Screen_SG+NB_S_Unit_SQ_SG*Flow_S_Screen_SG+NB_T_Unit_SQ_SG*Flow_T_Screen_SG)*((1-Wet_Proc_perc_SQ_SG)*EF_Screen_Dry_TSP_SG*(1-Screen_Aba_DP_SQ_SG)+Wet_Proc_perc_SQ_SG*EF_Screen_Wet_TSP_SG*(1-Screen_Aba_WP_SQ_SG))</f>
        <v>4.8750000000000009</v>
      </c>
    </row>
    <row r="50" spans="3:18" x14ac:dyDescent="0.25">
      <c r="C50" s="34" t="s">
        <v>316</v>
      </c>
      <c r="D50" s="87">
        <f>(NB_P_Unit_LQ_SG*Flow_P_Screen_SG+NB_S_Unit_LQ_SG*Flow_S_Screen_SG+NB_T_Unit_LQ_SG*Flow_T_Screen_SG)*((1-Wet_Proc_perc_LQ_SG)*EF_Screen_Dry_PM10_CR*(1-Screen_Aba_DP_LQ_SG)+Wet_Proc_perc_LQ_SG*EF_Screen_Wet_PM10_CR*(1-Screen_Aba_WP_LQ_SG))</f>
        <v>2.2845900000000006</v>
      </c>
      <c r="E50" s="87">
        <f>(NB_P_Unit_MQ_SG*Flow_P_Screen_SG+NB_S_Unit_MQ_SG*Flow_S_Screen_SG+NB_T_Unit_MQ_SG*Flow_T_Screen_SG)*((1-Wet_Proc_perc_MQ_SG)*EF_Screen_Dry_PM10_CR*(1-Screen_Aba_DP_MQ_SG)+Wet_Proc_perc_MQ_SG*EF_Screen_Wet_PM10_CR*(1-Screen_Aba_WP_MQ_SG))</f>
        <v>2.4690600000000003</v>
      </c>
      <c r="F50" s="87">
        <f>(NB_P_Unit_SQ_SG*Flow_P_Screen_SG+NB_S_Unit_SQ_SG*Flow_S_Screen_SG+NB_T_Unit_SQ_SG*Flow_T_Screen_SG)*((1-Wet_Proc_perc_SQ_SG)*EF_Screen_Dry_PM10_CR*(1-Screen_Aba_DP_SQ_SG)+Wet_Proc_perc_SQ_SG*EF_Screen_Wet_PM10_CR*(1-Screen_Aba_WP_SQ_SG))</f>
        <v>1.677</v>
      </c>
    </row>
    <row r="51" spans="3:18" x14ac:dyDescent="0.25">
      <c r="C51" s="37" t="s">
        <v>317</v>
      </c>
      <c r="D51" s="87">
        <f>(NB_P_Unit_LQ_SG*Flow_P_Screen_SG+NB_S_Unit_LQ_SG*Flow_S_Screen_SG+NB_T_Unit_LQ_SG*Flow_T_Screen_SG)*((1-Wet_Proc_perc_LQ_SG)*EF_Screen_Dry_PM2.5_CR*(1-Screen_Aba_DP_LQ_SG)+Wet_Proc_perc_LQ_SG*EF_Screen_Wet_PM2.5_CR*(1-Screen_Aba_WP_LQ_SG))</f>
        <v>0.15093750000000003</v>
      </c>
      <c r="E51" s="87">
        <f>(NB_P_Unit_MQ_SG*Flow_P_Screen_SG+NB_S_Unit_MQ_SG*Flow_S_Screen_SG+NB_T_Unit_MQ_SG*Flow_T_Screen_SG)*((1-Wet_Proc_perc_MQ_SG)*EF_Screen_Dry_PM2.5_CR*(1-Screen_Aba_DP_MQ_SG)+Wet_Proc_perc_MQ_SG*EF_Screen_Wet_PM2.5_CR*(1-Screen_Aba_WP_MQ_SG))</f>
        <v>0.16312499999999999</v>
      </c>
      <c r="F51" s="87">
        <f>(NB_P_Unit_SQ_SG*Flow_P_Screen_SG+NB_S_Unit_SQ_SG*Flow_S_Screen_SG+NB_T_Unit_SQ_SG*Flow_T_Screen_SG)*((1-Wet_Proc_perc_SQ_SG)*EF_Screen_Dry_PM2.5_CR*(1-Screen_Aba_DP_SQ_SG)+Wet_Proc_perc_SQ_SG*EF_Screen_Wet_PM2.5_CR*(1-Screen_Aba_WP_SQ_SG))</f>
        <v>0.11079545454545456</v>
      </c>
    </row>
    <row r="52" spans="3:18" x14ac:dyDescent="0.25">
      <c r="C52" s="36" t="s">
        <v>318</v>
      </c>
      <c r="D52" s="88">
        <f>(NB_P_Unit_LQ_SG*Flow_P_TP_SG+NB_S_Unit_LQ_SG*Flow_S_TP_SG+NB_T_Unit_LQ_SG*Flow_T_TP_SG)*((1-Wet_Proc_perc_LQ_SG)*EF_TP_Dry_TSP_SG*(1-TP_Aba_DP_LQ_SG)+Wet_Proc_perc_LQ_SG*EF_TP_Wet_TSP_SG*(1-TP_Aba_WP_LQ_SG))</f>
        <v>6.8249999999999993</v>
      </c>
      <c r="E52" s="88">
        <f>(NB_P_Unit_MQ_SG*Flow_P_TP_SG+NB_S_Unit_MQ_SG*Flow_S_TP_SG+NB_T_Unit_MQ_SG*Flow_T_TP_SG)*((1-Wet_Proc_perc_MQ_SG)*EF_TP_Dry_TSP_SG*(1-TP_Aba_DP_MQ_SG)+Wet_Proc_perc_MQ_SG*EF_TP_Wet_TSP_SG*(1-TP_Aba_WP_MQ_SG))</f>
        <v>6.8249999999999993</v>
      </c>
      <c r="F52" s="88">
        <f>(NB_P_Unit_SQ_SG*Flow_P_TP_SG+NB_S_Unit_SQ_SG*Flow_S_TP_SG+NB_T_Unit_SQ_SG*Flow_T_TP_SG)*((1-Wet_Proc_perc_SQ_SG)*EF_TP_Dry_TSP_SG*(1-TP_Aba_DP_SQ_SG)+Wet_Proc_perc_SQ_SG*EF_TP_Wet_TSP_SG*(1-TP_Aba_WP_SQ_SG))</f>
        <v>4.125</v>
      </c>
    </row>
    <row r="53" spans="3:18" x14ac:dyDescent="0.25">
      <c r="C53" s="34" t="s">
        <v>319</v>
      </c>
      <c r="D53" s="87">
        <f>(NB_P_Unit_LQ_SG*Flow_P_TP_SG+NB_S_Unit_LQ_SG*Flow_S_TP_SG+NB_T_Unit_LQ_SG*Flow_T_TP_SG)*((1-Wet_Proc_perc_LQ_SG)*EF_TP_Dry_PM10_CR*(1-TP_Aba_DP_LQ_SG)+Wet_Proc_perc_LQ_SG*EF_TP_Wet_PM10_CR*(1-TP_Aba_WP_LQ_SG))</f>
        <v>2.5024999999999999</v>
      </c>
      <c r="E53" s="87">
        <f>(NB_P_Unit_MQ_SG*Flow_P_TP_SG+NB_S_Unit_MQ_SG*Flow_S_TP_SG+NB_T_Unit_MQ_SG*Flow_T_TP_SG)*((1-Wet_Proc_perc_MQ_SG)*EF_TP_Dry_PM10_CR*(1-TP_Aba_DP_MQ_SG)+Wet_Proc_perc_MQ_SG*EF_TP_Wet_PM10_CR*(1-TP_Aba_WP_MQ_SG))</f>
        <v>2.5024999999999999</v>
      </c>
      <c r="F53" s="87">
        <f>(NB_P_Unit_SQ_SG*Flow_P_TP_SG+NB_S_Unit_SQ_SG*Flow_S_TP_SG+NB_T_Unit_SQ_SG*Flow_T_TP_SG)*((1-Wet_Proc_perc_SQ_SG)*EF_TP_Dry_PM10_CR*(1-TP_Aba_DP_SQ_SG)+Wet_Proc_perc_SQ_SG*EF_TP_Wet_PM10_CR*(1-TP_Aba_WP_SQ_SG))</f>
        <v>1.5125000000000002</v>
      </c>
    </row>
    <row r="54" spans="3:18" x14ac:dyDescent="0.25">
      <c r="C54" s="37" t="s">
        <v>320</v>
      </c>
      <c r="D54" s="89">
        <f>(NB_P_Unit_LQ_SG*Flow_P_TP_SG+NB_S_Unit_LQ_SG*Flow_S_TP_SG+NB_T_Unit_LQ_SG*Flow_T_TP_SG)*((1-Wet_Proc_perc_LQ_SG)*EF_TP_Dry_PM2.5_CR*(1-TP_Aba_DP_LQ_SG)+Wet_Proc_perc_LQ_SG*EF_TP_Wet_PM2.5_CR*(1-TP_Aba_WP_LQ_SG))</f>
        <v>0.63375000000000004</v>
      </c>
      <c r="E54" s="89">
        <f>(NB_P_Unit_MQ_SG*Flow_P_TP_SG+NB_S_Unit_MQ_SG*Flow_S_TP_SG+NB_T_Unit_MQ_SG*Flow_T_TP_SG)*((1-Wet_Proc_perc_MQ_SG)*EF_TP_Dry_PM2.5_CR*(1-TP_Aba_DP_MQ_SG)+Wet_Proc_perc_MQ_SG*EF_TP_Wet_PM2.5_CR*(1-TP_Aba_WP_MQ_SG))</f>
        <v>0.63375000000000004</v>
      </c>
      <c r="F54" s="89">
        <f>(NB_P_Unit_SQ_SG*Flow_P_TP_SG+NB_S_Unit_SQ_SG*Flow_S_TP_SG+NB_T_Unit_SQ_SG*Flow_T_TP_SG)*((1-Wet_Proc_perc_SQ_SG)*EF_TP_Dry_PM2.5_CR*(1-TP_Aba_DP_SQ_SG)+Wet_Proc_perc_SQ_SG*EF_TP_Wet_PM2.5_CR*(1-TP_Aba_WP_SQ_SG))</f>
        <v>0.38303571428571431</v>
      </c>
    </row>
    <row r="55" spans="3:18" x14ac:dyDescent="0.25">
      <c r="C55" s="34" t="s">
        <v>309</v>
      </c>
      <c r="D55" s="57">
        <f t="shared" ref="D55:F57" si="1">D46+D49+D52</f>
        <v>14.519946600000001</v>
      </c>
      <c r="E55" s="57">
        <f t="shared" si="1"/>
        <v>15.564510075000001</v>
      </c>
      <c r="F55" s="57">
        <f t="shared" si="1"/>
        <v>10.215</v>
      </c>
      <c r="J55" s="42"/>
      <c r="M55" s="47"/>
      <c r="N55" s="47"/>
      <c r="O55" s="47"/>
      <c r="P55" s="207"/>
      <c r="Q55" s="207"/>
      <c r="R55" s="207"/>
    </row>
    <row r="56" spans="3:18" x14ac:dyDescent="0.25">
      <c r="C56" s="34" t="s">
        <v>310</v>
      </c>
      <c r="D56" s="57">
        <f t="shared" si="1"/>
        <v>5.2553996000000005</v>
      </c>
      <c r="E56" s="57">
        <f t="shared" si="1"/>
        <v>5.6657867</v>
      </c>
      <c r="F56" s="57">
        <f t="shared" si="1"/>
        <v>3.7295000000000003</v>
      </c>
      <c r="J56" s="42"/>
      <c r="M56" s="47"/>
      <c r="N56" s="47"/>
      <c r="O56" s="47"/>
      <c r="P56" s="207"/>
      <c r="Q56" s="207"/>
      <c r="R56" s="207"/>
    </row>
    <row r="57" spans="3:18" ht="15.75" thickBot="1" x14ac:dyDescent="0.3">
      <c r="C57" s="35" t="s">
        <v>311</v>
      </c>
      <c r="D57" s="58">
        <f t="shared" si="1"/>
        <v>1.0188423000000002</v>
      </c>
      <c r="E57" s="58">
        <f t="shared" si="1"/>
        <v>1.1439883500000001</v>
      </c>
      <c r="F57" s="58">
        <f t="shared" si="1"/>
        <v>0.76383116883116875</v>
      </c>
      <c r="J57" s="42"/>
      <c r="M57" s="47"/>
      <c r="N57" s="47"/>
      <c r="O57" s="47"/>
      <c r="P57" s="207"/>
      <c r="Q57" s="207"/>
      <c r="R57" s="207"/>
    </row>
    <row r="58" spans="3:18" ht="16.5" thickTop="1" thickBot="1" x14ac:dyDescent="0.3">
      <c r="M58" s="47"/>
      <c r="N58" s="47"/>
      <c r="O58" s="47"/>
    </row>
    <row r="59" spans="3:18" ht="15.75" thickTop="1" x14ac:dyDescent="0.25">
      <c r="C59" s="348" t="s">
        <v>124</v>
      </c>
      <c r="D59" s="349"/>
      <c r="E59" s="349"/>
      <c r="F59" s="350"/>
      <c r="M59" s="47"/>
      <c r="N59" s="47"/>
      <c r="O59" s="47"/>
    </row>
    <row r="60" spans="3:18" x14ac:dyDescent="0.25">
      <c r="C60" s="38"/>
      <c r="D60" s="39" t="s">
        <v>31</v>
      </c>
      <c r="E60" s="40" t="s">
        <v>32</v>
      </c>
      <c r="F60" s="39" t="s">
        <v>33</v>
      </c>
      <c r="M60" s="47"/>
      <c r="N60" s="47"/>
      <c r="O60" s="47"/>
    </row>
    <row r="61" spans="3:18" x14ac:dyDescent="0.25">
      <c r="C61" s="34" t="s">
        <v>312</v>
      </c>
      <c r="D61" s="87">
        <f>(NB_P_Unit_LQ_RA*Flow_P_Crush_RA+NB_S_Unit_LQ_RA*Flow_S_Crush_RA+NB_T_Unit_LQ_RA*Flow_T_Crush_RA)*((1-Wet_Proc_perc_LQ_RA)*EF_Crush_Dry_TSP_RA*(1-Crush_Aba_DP_LQ_RA)+Wet_Proc_perc_LQ_RA*EF_Crush_Wet_TSP_RA*(1-Crush_Aba_WP_LQ_RA))</f>
        <v>1.3268772000000002</v>
      </c>
      <c r="E61" s="87">
        <f>(NB_P_Unit_MQ_RA*Flow_P_Crush_RA+NB_S_Unit_MQ_RA*Flow_S_Crush_RA+NB_T_Unit_MQ_RA*Flow_T_Crush_RA)*((1-Wet_Proc_perc_MQ_RA)*EF_Crush_Dry_TSP_RA*(1-Crush_Aba_DP_MQ_RA)+Wet_Proc_perc_MQ_RA*EF_Crush_Wet_TSP_RA*(1-Crush_Aba_WP_MQ_RA))</f>
        <v>1.9669756500000009</v>
      </c>
      <c r="F61" s="87">
        <f>(NB_P_Unit_SQ_RA*Flow_P_Crush_RA+NB_S_Unit_SQ_RA*Flow_S_Crush_RA+NB_T_Unit_SQ_RA*Flow_T_Crush_RA)*((1-Wet_Proc_perc_SQ_RA)*EF_Crush_Dry_TSP_RA*(1-Crush_Aba_DP_SQ_RA)+Wet_Proc_perc_SQ_RA*EF_Crush_Wet_TSP_RA*(1-Crush_Aba_WP_SQ_RA))</f>
        <v>2.7</v>
      </c>
      <c r="M61" s="47"/>
      <c r="N61" s="47"/>
      <c r="O61" s="47"/>
    </row>
    <row r="62" spans="3:18" x14ac:dyDescent="0.25">
      <c r="C62" s="34" t="s">
        <v>313</v>
      </c>
      <c r="D62" s="87">
        <f>(NB_P_Unit_LQ_RA*Flow_P_Crush_RA+NB_S_Unit_LQ_RA*Flow_S_Crush_RA+NB_T_Unit_LQ_RA*Flow_T_Crush_RA)*((1-Wet_Proc_perc_LQ_RA)*EF_Crush_Dry_PM10_CR*(1-Crush_Aba_DP_LQ_RA)+Wet_Proc_perc_LQ_RA*EF_Crush_Wet_PM10_CR*(1-Crush_Aba_WP_LQ_RA))</f>
        <v>0.5897232</v>
      </c>
      <c r="E62" s="87">
        <f>(NB_P_Unit_MQ_RA*Flow_P_Crush_RA+NB_S_Unit_MQ_RA*Flow_S_Crush_RA+NB_T_Unit_MQ_RA*Flow_T_Crush_RA)*((1-Wet_Proc_perc_MQ_RA)*EF_Crush_Dry_PM10_CR*(1-Crush_Aba_DP_MQ_RA)+Wet_Proc_perc_MQ_RA*EF_Crush_Wet_PM10_CR*(1-Crush_Aba_WP_MQ_RA))</f>
        <v>0.87421140000000008</v>
      </c>
      <c r="F62" s="87">
        <f>(NB_P_Unit_SQ_RA*Flow_P_Crush_RA+NB_S_Unit_SQ_RA*Flow_S_Crush_RA+NB_T_Unit_SQ_RA*Flow_T_Crush_RA)*((1-Wet_Proc_perc_SQ_RA)*EF_Crush_Dry_PM10_CR*(1-Crush_Aba_DP_SQ_RA)+Wet_Proc_perc_SQ_RA*EF_Crush_Wet_PM10_CR*(1-Crush_Aba_WP_SQ_RA))</f>
        <v>1.2</v>
      </c>
      <c r="M62" s="47"/>
      <c r="N62" s="47"/>
      <c r="O62" s="47"/>
    </row>
    <row r="63" spans="3:18" x14ac:dyDescent="0.25">
      <c r="C63" s="34" t="s">
        <v>314</v>
      </c>
      <c r="D63" s="89">
        <f>(NB_P_Unit_LQ_RA*Flow_P_Crush_RA+NB_S_Unit_LQ_RA*Flow_S_Crush_RA+NB_T_Unit_LQ_RA*Flow_T_Crush_RA)*((1-Wet_Proc_perc_LQ_RA)*EF_Crush_Dry_PM2.5_CR*(1-Crush_Aba_DP_LQ_RA)+Wet_Proc_perc_LQ_RA*EF_Crush_Wet_PM2.5_CR*(1-Crush_Aba_WP_LQ_RA))</f>
        <v>0.2948616</v>
      </c>
      <c r="E63" s="89">
        <f>(NB_P_Unit_MQ_RA*Flow_P_Crush_RA+NB_S_Unit_MQ_RA*Flow_S_Crush_RA+NB_T_Unit_MQ_RA*Flow_T_Crush_RA)*((1-Wet_Proc_perc_MQ_RA)*EF_Crush_Dry_PM2.5_CR*(1-Crush_Aba_DP_MQ_RA)+Wet_Proc_perc_MQ_RA*EF_Crush_Wet_PM2.5_CR*(1-Crush_Aba_WP_MQ_RA))</f>
        <v>0.43710570000000004</v>
      </c>
      <c r="F63" s="89">
        <f>(NB_P_Unit_SQ_RA*Flow_P_Crush_RA+NB_S_Unit_SQ_RA*Flow_S_Crush_RA+NB_T_Unit_SQ_RA*Flow_T_Crush_RA)*((1-Wet_Proc_perc_SQ_RA)*EF_Crush_Dry_PM2.5_CR*(1-Crush_Aba_DP_SQ_RA)+Wet_Proc_perc_SQ_RA*EF_Crush_Wet_PM2.5_CR*(1-Crush_Aba_WP_SQ_RA))</f>
        <v>0.6</v>
      </c>
      <c r="M63" s="47"/>
      <c r="N63" s="47"/>
      <c r="O63" s="47"/>
    </row>
    <row r="64" spans="3:18" x14ac:dyDescent="0.25">
      <c r="C64" s="36" t="s">
        <v>315</v>
      </c>
      <c r="D64" s="87">
        <f>(NB_P_Unit_LQ_RA*Flow_P_Screen_RA+NB_S_Unit_LQ_RA*Flow_S_Screen_RA+NB_T_Unit_LQ_RA*Flow_T_Screen_RA)*((1-Wet_Proc_perc_LQ_RA)*EF_Screen_Dry_TSP_RA*(1-Screen_Aba_DP_LQ_RA)+Wet_Proc_perc_LQ_RA*EF_Screen_Wet_TSP_RA*(1-Screen_Aba_WP_LQ_RA))</f>
        <v>20.125</v>
      </c>
      <c r="E64" s="87">
        <f>(NB_P_Unit_MQ_RA*Flow_P_Screen_RA+NB_S_Unit_MQ_RA*Flow_S_Screen_RA+NB_T_Unit_MQ_RA*Flow_T_Screen_RA)*((1-Wet_Proc_perc_MQ_RA)*EF_Screen_Dry_TSP_RA*(1-Screen_Aba_DP_MQ_RA)+Wet_Proc_perc_MQ_RA*EF_Screen_Wet_TSP_RA*(1-Screen_Aba_WP_MQ_RA))</f>
        <v>21.75</v>
      </c>
      <c r="F64" s="87">
        <f>(NB_P_Unit_SQ_RA*Flow_P_Screen_RA+NB_S_Unit_SQ_RA*Flow_S_Screen_RA+NB_T_Unit_SQ_RA*Flow_T_Screen_RA)*((1-Wet_Proc_perc_SQ_RA)*EF_Screen_Dry_TSP_RA*(1-Screen_Aba_DP_SQ_RA)+Wet_Proc_perc_SQ_RA*EF_Screen_Wet_TSP_RA*(1-Screen_Aba_WP_SQ_RA))</f>
        <v>12.5</v>
      </c>
      <c r="M64" s="47"/>
      <c r="N64" s="47"/>
      <c r="O64" s="47"/>
    </row>
    <row r="65" spans="3:15" x14ac:dyDescent="0.25">
      <c r="C65" s="34" t="s">
        <v>316</v>
      </c>
      <c r="D65" s="87">
        <f>(NB_P_Unit_LQ_RA*Flow_P_Screen_RA+NB_S_Unit_LQ_RA*Flow_S_Screen_RA+NB_T_Unit_LQ_RA*Flow_T_Screen_RA)*((1-Wet_Proc_perc_LQ_RA)*EF_Screen_Dry_PM10_CR*(1-Screen_Aba_DP_LQ_RA)+Wet_Proc_perc_LQ_RA*EF_Screen_Wet_PM10_CR*(1-Screen_Aba_WP_LQ_RA))</f>
        <v>6.9229999999999992</v>
      </c>
      <c r="E65" s="87">
        <f>(NB_P_Unit_MQ_RA*Flow_P_Screen_RA+NB_S_Unit_MQ_RA*Flow_S_Screen_RA+NB_T_Unit_MQ_RA*Flow_T_Screen_RA)*((1-Wet_Proc_perc_MQ_RA)*EF_Screen_Dry_PM10_CR*(1-Screen_Aba_DP_MQ_RA)+Wet_Proc_perc_MQ_RA*EF_Screen_Wet_PM10_CR*(1-Screen_Aba_WP_MQ_RA))</f>
        <v>7.4819999999999993</v>
      </c>
      <c r="F65" s="87">
        <f>(NB_P_Unit_SQ_RA*Flow_P_Screen_RA+NB_S_Unit_SQ_RA*Flow_S_Screen_RA+NB_T_Unit_SQ_RA*Flow_T_Screen_RA)*((1-Wet_Proc_perc_SQ_RA)*EF_Screen_Dry_PM10_CR*(1-Screen_Aba_DP_SQ_RA)+Wet_Proc_perc_SQ_RA*EF_Screen_Wet_PM10_CR*(1-Screen_Aba_WP_SQ_RA))</f>
        <v>4.3</v>
      </c>
      <c r="M65" s="47"/>
      <c r="N65" s="47"/>
      <c r="O65" s="47"/>
    </row>
    <row r="66" spans="3:15" x14ac:dyDescent="0.25">
      <c r="C66" s="37" t="s">
        <v>317</v>
      </c>
      <c r="D66" s="87">
        <f>(NB_P_Unit_LQ_RA*Flow_P_Screen_RA+NB_S_Unit_LQ_RA*Flow_S_Screen_RA+NB_T_Unit_LQ_RA*Flow_T_Screen_RA)*((1-Wet_Proc_perc_LQ_RA)*EF_Screen_Dry_PM2.5_CR*(1-Screen_Aba_DP_LQ_RA)+Wet_Proc_perc_LQ_RA*EF_Screen_Wet_PM2.5_CR*(1-Screen_Aba_WP_LQ_RA))</f>
        <v>0.45738636363636354</v>
      </c>
      <c r="E66" s="87">
        <f>(NB_P_Unit_MQ_RA*Flow_P_Screen_RA+NB_S_Unit_MQ_RA*Flow_S_Screen_RA+NB_T_Unit_MQ_RA*Flow_T_Screen_RA)*((1-Wet_Proc_perc_MQ_RA)*EF_Screen_Dry_PM2.5_CR*(1-Screen_Aba_DP_MQ_RA)+Wet_Proc_perc_MQ_RA*EF_Screen_Wet_PM2.5_CR*(1-Screen_Aba_WP_MQ_RA))</f>
        <v>0.49431818181818177</v>
      </c>
      <c r="F66" s="87">
        <f>(NB_P_Unit_SQ_RA*Flow_P_Screen_RA+NB_S_Unit_SQ_RA*Flow_S_Screen_RA+NB_T_Unit_SQ_RA*Flow_T_Screen_RA)*((1-Wet_Proc_perc_SQ_RA)*EF_Screen_Dry_PM2.5_CR*(1-Screen_Aba_DP_SQ_RA)+Wet_Proc_perc_SQ_RA*EF_Screen_Wet_PM2.5_CR*(1-Screen_Aba_WP_SQ_RA))</f>
        <v>0.28409090909090906</v>
      </c>
      <c r="M66" s="47"/>
      <c r="N66" s="47"/>
      <c r="O66" s="47"/>
    </row>
    <row r="67" spans="3:15" x14ac:dyDescent="0.25">
      <c r="C67" s="36" t="s">
        <v>318</v>
      </c>
      <c r="D67" s="88">
        <f>(NB_P_Unit_LQ_RA*Flow_P_TP_RA+NB_S_Unit_LQ_RA*Flow_S_TP_RA+NB_T_Unit_LQ_RA*Flow_T_TP_RA)*((1-Wet_Proc_perc_LQ_RA)*EF_TP_Dry_TSP_RA*(1-TP_Aba_DP_LQ_RA)+Wet_Proc_perc_LQ_RA*EF_TP_Wet_TSP_RA*(1-TP_Aba_WP_LQ_RA))</f>
        <v>7.0500000000000007</v>
      </c>
      <c r="E67" s="88">
        <f>(NB_P_Unit_MQ_RA*Flow_P_TP_RA+NB_S_Unit_MQ_RA*Flow_S_TP_RA+NB_T_Unit_MQ_RA*Flow_T_TP_RA)*((1-Wet_Proc_perc_MQ_RA)*EF_TP_Dry_TSP_RA*(1-TP_Aba_DP_MQ_RA)+Wet_Proc_perc_MQ_RA*EF_TP_Wet_TSP_RA*(1-TP_Aba_WP_MQ_RA))</f>
        <v>7.0500000000000007</v>
      </c>
      <c r="F67" s="88">
        <f>(NB_P_Unit_SQ_RA*Flow_P_TP_RA+NB_S_Unit_SQ_RA*Flow_S_TP_RA+NB_T_Unit_SQ_RA*Flow_T_TP_RA)*((1-Wet_Proc_perc_SQ_RA)*EF_TP_Dry_TSP_RA*(1-TP_Aba_DP_SQ_RA)+Wet_Proc_perc_SQ_RA*EF_TP_Wet_TSP_RA*(1-TP_Aba_WP_SQ_RA))</f>
        <v>4.5</v>
      </c>
      <c r="M67" s="47"/>
      <c r="N67" s="47"/>
      <c r="O67" s="47"/>
    </row>
    <row r="68" spans="3:15" x14ac:dyDescent="0.25">
      <c r="C68" s="34" t="s">
        <v>319</v>
      </c>
      <c r="D68" s="87">
        <f>(NB_P_Unit_LQ_RA*Flow_P_TP_RA+NB_S_Unit_LQ_RA*Flow_S_TP_RA+NB_T_Unit_LQ_RA*Flow_T_TP_RA)*((1-Wet_Proc_perc_LQ_RA)*EF_TP_Dry_PM10_CR*(1-TP_Aba_DP_LQ_RA)+Wet_Proc_perc_LQ_RA*EF_TP_Wet_PM10_CR*(1-TP_Aba_WP_LQ_RA))</f>
        <v>2.5850000000000004</v>
      </c>
      <c r="E68" s="87">
        <f>(NB_P_Unit_MQ_RA*Flow_P_TP_RA+NB_S_Unit_MQ_RA*Flow_S_TP_RA+NB_T_Unit_MQ_RA*Flow_T_TP_RA)*((1-Wet_Proc_perc_MQ_RA)*EF_TP_Dry_PM10_CR*(1-TP_Aba_DP_MQ_RA)+Wet_Proc_perc_MQ_RA*EF_TP_Wet_PM10_CR*(1-TP_Aba_WP_MQ_RA))</f>
        <v>2.5850000000000004</v>
      </c>
      <c r="F68" s="87">
        <f>(NB_P_Unit_SQ_RA*Flow_P_TP_RA+NB_S_Unit_SQ_RA*Flow_S_TP_RA+NB_T_Unit_SQ_RA*Flow_T_TP_RA)*((1-Wet_Proc_perc_SQ_RA)*EF_TP_Dry_PM10_CR*(1-TP_Aba_DP_SQ_RA)+Wet_Proc_perc_SQ_RA*EF_TP_Wet_PM10_CR*(1-TP_Aba_WP_SQ_RA))</f>
        <v>1.6500000000000001</v>
      </c>
      <c r="M68" s="47"/>
      <c r="N68" s="47"/>
      <c r="O68" s="47"/>
    </row>
    <row r="69" spans="3:15" x14ac:dyDescent="0.25">
      <c r="C69" s="37" t="s">
        <v>320</v>
      </c>
      <c r="D69" s="89">
        <f>(NB_P_Unit_LQ_RA*Flow_P_TP_RA+NB_S_Unit_LQ_RA*Flow_S_TP_RA+NB_T_Unit_LQ_RA*Flow_T_TP_RA)*((1-Wet_Proc_perc_LQ_RA)*EF_TP_Dry_PM2.5_CR*(1-TP_Aba_DP_LQ_RA)+Wet_Proc_perc_LQ_RA*EF_TP_Wet_PM2.5_CR*(1-TP_Aba_WP_LQ_RA))</f>
        <v>0.65464285714285719</v>
      </c>
      <c r="E69" s="89">
        <f>(NB_P_Unit_MQ_RA*Flow_P_TP_RA+NB_S_Unit_MQ_RA*Flow_S_TP_RA+NB_T_Unit_MQ_RA*Flow_T_TP_RA)*((1-Wet_Proc_perc_MQ_RA)*EF_TP_Dry_PM2.5_CR*(1-TP_Aba_DP_MQ_RA)+Wet_Proc_perc_MQ_RA*EF_TP_Wet_PM2.5_CR*(1-TP_Aba_WP_MQ_RA))</f>
        <v>0.65464285714285719</v>
      </c>
      <c r="F69" s="89">
        <f>(NB_P_Unit_SQ_RA*Flow_P_TP_RA+NB_S_Unit_SQ_RA*Flow_S_TP_RA+NB_T_Unit_SQ_RA*Flow_T_TP_RA)*((1-Wet_Proc_perc_SQ_RA)*EF_TP_Dry_PM2.5_CR*(1-TP_Aba_DP_SQ_RA)+Wet_Proc_perc_SQ_RA*EF_TP_Wet_PM2.5_CR*(1-TP_Aba_WP_SQ_RA))</f>
        <v>0.41785714285714287</v>
      </c>
      <c r="K69" s="51"/>
      <c r="M69" s="47"/>
      <c r="N69" s="47"/>
      <c r="O69" s="47"/>
    </row>
    <row r="70" spans="3:15" x14ac:dyDescent="0.25">
      <c r="C70" s="34" t="s">
        <v>309</v>
      </c>
      <c r="D70" s="57">
        <f t="shared" ref="D70" si="2">D61+D64+D67</f>
        <v>28.501877199999999</v>
      </c>
      <c r="E70" s="57">
        <f t="shared" ref="E70:F72" si="3">E61+E64+E67</f>
        <v>30.766975650000003</v>
      </c>
      <c r="F70" s="57">
        <f t="shared" si="3"/>
        <v>19.7</v>
      </c>
      <c r="J70" s="42"/>
      <c r="M70" s="47"/>
      <c r="N70" s="47"/>
      <c r="O70" s="47"/>
    </row>
    <row r="71" spans="3:15" x14ac:dyDescent="0.25">
      <c r="C71" s="34" t="s">
        <v>310</v>
      </c>
      <c r="D71" s="57">
        <f t="shared" ref="D71" si="4">D62+D65+D68</f>
        <v>10.097723199999999</v>
      </c>
      <c r="E71" s="57">
        <f t="shared" si="3"/>
        <v>10.9412114</v>
      </c>
      <c r="F71" s="57">
        <f t="shared" si="3"/>
        <v>7.15</v>
      </c>
      <c r="J71" s="42"/>
      <c r="M71" s="47"/>
      <c r="N71" s="47"/>
      <c r="O71" s="47"/>
    </row>
    <row r="72" spans="3:15" ht="15.75" thickBot="1" x14ac:dyDescent="0.3">
      <c r="C72" s="35" t="s">
        <v>311</v>
      </c>
      <c r="D72" s="58">
        <f t="shared" ref="D72" si="5">D63+D66+D69</f>
        <v>1.4068908207792208</v>
      </c>
      <c r="E72" s="58">
        <f t="shared" si="3"/>
        <v>1.586066738961039</v>
      </c>
      <c r="F72" s="58">
        <f t="shared" si="3"/>
        <v>1.301948051948052</v>
      </c>
      <c r="J72" s="42"/>
      <c r="M72" s="47"/>
      <c r="N72" s="47"/>
      <c r="O72" s="47"/>
    </row>
    <row r="73" spans="3:15" ht="15.75" thickTop="1" x14ac:dyDescent="0.25"/>
  </sheetData>
  <mergeCells count="7">
    <mergeCell ref="A25:H25"/>
    <mergeCell ref="A1:H1"/>
    <mergeCell ref="B3:G23"/>
    <mergeCell ref="C44:F44"/>
    <mergeCell ref="C59:F59"/>
    <mergeCell ref="B27:G27"/>
    <mergeCell ref="C29:F29"/>
  </mergeCells>
  <pageMargins left="0.7" right="0.7" top="0.75" bottom="0.75" header="0.3" footer="0.3"/>
  <pageSetup paperSize="9" orientation="portrait" r:id="rId1"/>
  <rowBreaks count="1" manualBreakCount="1">
    <brk id="2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P193"/>
  <sheetViews>
    <sheetView view="pageBreakPreview" zoomScaleNormal="100" zoomScaleSheetLayoutView="100" workbookViewId="0">
      <selection sqref="A1:F1"/>
    </sheetView>
  </sheetViews>
  <sheetFormatPr baseColWidth="10" defaultRowHeight="15" x14ac:dyDescent="0.25"/>
  <cols>
    <col min="1" max="1" width="1.42578125" style="51" customWidth="1"/>
    <col min="2" max="2" width="15.42578125" customWidth="1"/>
    <col min="3" max="3" width="24.42578125" customWidth="1"/>
    <col min="4" max="6" width="15" customWidth="1"/>
    <col min="7" max="9" width="19.85546875" bestFit="1" customWidth="1"/>
    <col min="10" max="10" width="31" bestFit="1" customWidth="1"/>
    <col min="11" max="13" width="19.85546875" bestFit="1" customWidth="1"/>
    <col min="14" max="14" width="20" bestFit="1" customWidth="1"/>
    <col min="15" max="15" width="19.85546875" bestFit="1" customWidth="1"/>
  </cols>
  <sheetData>
    <row r="1" spans="1:6" s="51" customFormat="1" x14ac:dyDescent="0.25">
      <c r="A1" s="309" t="s">
        <v>268</v>
      </c>
      <c r="B1" s="309"/>
      <c r="C1" s="309"/>
      <c r="D1" s="309"/>
      <c r="E1" s="309"/>
      <c r="F1" s="309"/>
    </row>
    <row r="2" spans="1:6" s="51" customFormat="1" ht="23.25" customHeight="1" x14ac:dyDescent="0.25">
      <c r="B2" s="64" t="s">
        <v>123</v>
      </c>
    </row>
    <row r="3" spans="1:6" s="51" customFormat="1" ht="15" customHeight="1" x14ac:dyDescent="0.25">
      <c r="B3" s="346" t="s">
        <v>447</v>
      </c>
      <c r="C3" s="346"/>
      <c r="D3" s="346"/>
      <c r="E3" s="346"/>
      <c r="F3" s="346"/>
    </row>
    <row r="4" spans="1:6" s="51" customFormat="1" x14ac:dyDescent="0.25">
      <c r="B4" s="346"/>
      <c r="C4" s="346"/>
      <c r="D4" s="346"/>
      <c r="E4" s="346"/>
      <c r="F4" s="346"/>
    </row>
    <row r="5" spans="1:6" s="51" customFormat="1" x14ac:dyDescent="0.25">
      <c r="B5" s="346"/>
      <c r="C5" s="346"/>
      <c r="D5" s="346"/>
      <c r="E5" s="346"/>
      <c r="F5" s="346"/>
    </row>
    <row r="6" spans="1:6" s="51" customFormat="1" x14ac:dyDescent="0.25">
      <c r="B6" s="346"/>
      <c r="C6" s="346"/>
      <c r="D6" s="346"/>
      <c r="E6" s="346"/>
      <c r="F6" s="346"/>
    </row>
    <row r="7" spans="1:6" s="51" customFormat="1" x14ac:dyDescent="0.25">
      <c r="B7" s="346"/>
      <c r="C7" s="346"/>
      <c r="D7" s="346"/>
      <c r="E7" s="346"/>
      <c r="F7" s="346"/>
    </row>
    <row r="8" spans="1:6" s="51" customFormat="1" x14ac:dyDescent="0.25">
      <c r="B8" s="346"/>
      <c r="C8" s="346"/>
      <c r="D8" s="346"/>
      <c r="E8" s="346"/>
      <c r="F8" s="346"/>
    </row>
    <row r="9" spans="1:6" s="51" customFormat="1" x14ac:dyDescent="0.25">
      <c r="B9" s="346"/>
      <c r="C9" s="346"/>
      <c r="D9" s="346"/>
      <c r="E9" s="346"/>
      <c r="F9" s="346"/>
    </row>
    <row r="10" spans="1:6" s="51" customFormat="1" x14ac:dyDescent="0.25">
      <c r="B10" s="346"/>
      <c r="C10" s="346"/>
      <c r="D10" s="346"/>
      <c r="E10" s="346"/>
      <c r="F10" s="346"/>
    </row>
    <row r="11" spans="1:6" s="51" customFormat="1" x14ac:dyDescent="0.25">
      <c r="B11" s="346"/>
      <c r="C11" s="346"/>
      <c r="D11" s="346"/>
      <c r="E11" s="346"/>
      <c r="F11" s="346"/>
    </row>
    <row r="12" spans="1:6" s="51" customFormat="1" x14ac:dyDescent="0.25">
      <c r="B12" s="346"/>
      <c r="C12" s="346"/>
      <c r="D12" s="346"/>
      <c r="E12" s="346"/>
      <c r="F12" s="346"/>
    </row>
    <row r="13" spans="1:6" s="51" customFormat="1" x14ac:dyDescent="0.25">
      <c r="B13" s="346"/>
      <c r="C13" s="346"/>
      <c r="D13" s="346"/>
      <c r="E13" s="346"/>
      <c r="F13" s="346"/>
    </row>
    <row r="14" spans="1:6" s="51" customFormat="1" x14ac:dyDescent="0.25">
      <c r="B14" s="346"/>
      <c r="C14" s="346"/>
      <c r="D14" s="346"/>
      <c r="E14" s="346"/>
      <c r="F14" s="346"/>
    </row>
    <row r="15" spans="1:6" s="51" customFormat="1" x14ac:dyDescent="0.25">
      <c r="B15" s="346"/>
      <c r="C15" s="346"/>
      <c r="D15" s="346"/>
      <c r="E15" s="346"/>
      <c r="F15" s="346"/>
    </row>
    <row r="16" spans="1:6" s="51" customFormat="1" x14ac:dyDescent="0.25">
      <c r="B16" s="346"/>
      <c r="C16" s="346"/>
      <c r="D16" s="346"/>
      <c r="E16" s="346"/>
      <c r="F16" s="346"/>
    </row>
    <row r="17" spans="2:6" s="51" customFormat="1" x14ac:dyDescent="0.25">
      <c r="B17" s="346"/>
      <c r="C17" s="346"/>
      <c r="D17" s="346"/>
      <c r="E17" s="346"/>
      <c r="F17" s="346"/>
    </row>
    <row r="18" spans="2:6" s="51" customFormat="1" x14ac:dyDescent="0.25">
      <c r="B18" s="346"/>
      <c r="C18" s="346"/>
      <c r="D18" s="346"/>
      <c r="E18" s="346"/>
      <c r="F18" s="346"/>
    </row>
    <row r="19" spans="2:6" s="51" customFormat="1" x14ac:dyDescent="0.25">
      <c r="B19" s="346"/>
      <c r="C19" s="346"/>
      <c r="D19" s="346"/>
      <c r="E19" s="346"/>
      <c r="F19" s="346"/>
    </row>
    <row r="20" spans="2:6" s="51" customFormat="1" x14ac:dyDescent="0.25">
      <c r="B20" s="346"/>
      <c r="C20" s="346"/>
      <c r="D20" s="346"/>
      <c r="E20" s="346"/>
      <c r="F20" s="346"/>
    </row>
    <row r="21" spans="2:6" s="51" customFormat="1" x14ac:dyDescent="0.25">
      <c r="B21" s="346"/>
      <c r="C21" s="346"/>
      <c r="D21" s="346"/>
      <c r="E21" s="346"/>
      <c r="F21" s="346"/>
    </row>
    <row r="22" spans="2:6" s="51" customFormat="1" x14ac:dyDescent="0.25">
      <c r="B22" s="346"/>
      <c r="C22" s="346"/>
      <c r="D22" s="346"/>
      <c r="E22" s="346"/>
      <c r="F22" s="346"/>
    </row>
    <row r="23" spans="2:6" s="51" customFormat="1" x14ac:dyDescent="0.25">
      <c r="B23" s="346"/>
      <c r="C23" s="346"/>
      <c r="D23" s="346"/>
      <c r="E23" s="346"/>
      <c r="F23" s="346"/>
    </row>
    <row r="24" spans="2:6" s="51" customFormat="1" x14ac:dyDescent="0.25">
      <c r="B24" s="346"/>
      <c r="C24" s="346"/>
      <c r="D24" s="346"/>
      <c r="E24" s="346"/>
      <c r="F24" s="346"/>
    </row>
    <row r="25" spans="2:6" s="51" customFormat="1" x14ac:dyDescent="0.25">
      <c r="B25" s="346"/>
      <c r="C25" s="346"/>
      <c r="D25" s="346"/>
      <c r="E25" s="346"/>
      <c r="F25" s="346"/>
    </row>
    <row r="26" spans="2:6" s="51" customFormat="1" x14ac:dyDescent="0.25">
      <c r="B26" s="346"/>
      <c r="C26" s="346"/>
      <c r="D26" s="346"/>
      <c r="E26" s="346"/>
      <c r="F26" s="346"/>
    </row>
    <row r="27" spans="2:6" s="51" customFormat="1" x14ac:dyDescent="0.25">
      <c r="B27" s="346"/>
      <c r="C27" s="346"/>
      <c r="D27" s="346"/>
      <c r="E27" s="346"/>
      <c r="F27" s="346"/>
    </row>
    <row r="28" spans="2:6" s="51" customFormat="1" x14ac:dyDescent="0.25">
      <c r="B28" s="346"/>
      <c r="C28" s="346"/>
      <c r="D28" s="346"/>
      <c r="E28" s="346"/>
      <c r="F28" s="346"/>
    </row>
    <row r="29" spans="2:6" s="51" customFormat="1" x14ac:dyDescent="0.25">
      <c r="B29" s="346"/>
      <c r="C29" s="346"/>
      <c r="D29" s="346"/>
      <c r="E29" s="346"/>
      <c r="F29" s="346"/>
    </row>
    <row r="30" spans="2:6" s="51" customFormat="1" x14ac:dyDescent="0.25">
      <c r="B30" s="346"/>
      <c r="C30" s="346"/>
      <c r="D30" s="346"/>
      <c r="E30" s="346"/>
      <c r="F30" s="346"/>
    </row>
    <row r="31" spans="2:6" s="51" customFormat="1" x14ac:dyDescent="0.25">
      <c r="B31" s="346"/>
      <c r="C31" s="346"/>
      <c r="D31" s="346"/>
      <c r="E31" s="346"/>
      <c r="F31" s="346"/>
    </row>
    <row r="32" spans="2:6" s="51" customFormat="1" ht="23.25" customHeight="1" x14ac:dyDescent="0.25">
      <c r="B32" s="346"/>
      <c r="C32" s="346"/>
      <c r="D32" s="346"/>
      <c r="E32" s="346"/>
      <c r="F32" s="346"/>
    </row>
    <row r="33" spans="2:6" s="51" customFormat="1" x14ac:dyDescent="0.25">
      <c r="B33" s="346"/>
      <c r="C33" s="346"/>
      <c r="D33" s="346"/>
      <c r="E33" s="346"/>
      <c r="F33" s="346"/>
    </row>
    <row r="34" spans="2:6" s="51" customFormat="1" x14ac:dyDescent="0.25">
      <c r="B34" s="346"/>
      <c r="C34" s="346"/>
      <c r="D34" s="346"/>
      <c r="E34" s="346"/>
      <c r="F34" s="346"/>
    </row>
    <row r="35" spans="2:6" s="51" customFormat="1" x14ac:dyDescent="0.25">
      <c r="B35" s="346"/>
      <c r="C35" s="346"/>
      <c r="D35" s="346"/>
      <c r="E35" s="346"/>
      <c r="F35" s="346"/>
    </row>
    <row r="36" spans="2:6" s="51" customFormat="1" x14ac:dyDescent="0.25">
      <c r="B36" s="346"/>
      <c r="C36" s="346"/>
      <c r="D36" s="346"/>
      <c r="E36" s="346"/>
      <c r="F36" s="346"/>
    </row>
    <row r="37" spans="2:6" s="51" customFormat="1" x14ac:dyDescent="0.25">
      <c r="B37" s="346"/>
      <c r="C37" s="346"/>
      <c r="D37" s="346"/>
      <c r="E37" s="346"/>
      <c r="F37" s="346"/>
    </row>
    <row r="38" spans="2:6" s="51" customFormat="1" x14ac:dyDescent="0.25">
      <c r="B38" s="346"/>
      <c r="C38" s="346"/>
      <c r="D38" s="346"/>
      <c r="E38" s="346"/>
      <c r="F38" s="346"/>
    </row>
    <row r="39" spans="2:6" s="51" customFormat="1" x14ac:dyDescent="0.25">
      <c r="B39" s="346"/>
      <c r="C39" s="346"/>
      <c r="D39" s="346"/>
      <c r="E39" s="346"/>
      <c r="F39" s="346"/>
    </row>
    <row r="40" spans="2:6" s="51" customFormat="1" x14ac:dyDescent="0.25">
      <c r="B40" s="346"/>
      <c r="C40" s="346"/>
      <c r="D40" s="346"/>
      <c r="E40" s="346"/>
      <c r="F40" s="346"/>
    </row>
    <row r="41" spans="2:6" s="51" customFormat="1" x14ac:dyDescent="0.25">
      <c r="B41" s="346"/>
      <c r="C41" s="346"/>
      <c r="D41" s="346"/>
      <c r="E41" s="346"/>
      <c r="F41" s="346"/>
    </row>
    <row r="42" spans="2:6" s="51" customFormat="1" x14ac:dyDescent="0.25">
      <c r="B42" s="346"/>
      <c r="C42" s="346"/>
      <c r="D42" s="346"/>
      <c r="E42" s="346"/>
      <c r="F42" s="346"/>
    </row>
    <row r="43" spans="2:6" s="51" customFormat="1" x14ac:dyDescent="0.25">
      <c r="B43" s="346"/>
      <c r="C43" s="346"/>
      <c r="D43" s="346"/>
      <c r="E43" s="346"/>
      <c r="F43" s="346"/>
    </row>
    <row r="44" spans="2:6" s="51" customFormat="1" x14ac:dyDescent="0.25">
      <c r="B44" s="346"/>
      <c r="C44" s="346"/>
      <c r="D44" s="346"/>
      <c r="E44" s="346"/>
      <c r="F44" s="346"/>
    </row>
    <row r="45" spans="2:6" s="51" customFormat="1" x14ac:dyDescent="0.25">
      <c r="B45" s="346"/>
      <c r="C45" s="346"/>
      <c r="D45" s="346"/>
      <c r="E45" s="346"/>
      <c r="F45" s="346"/>
    </row>
    <row r="46" spans="2:6" s="51" customFormat="1" x14ac:dyDescent="0.25">
      <c r="B46" s="346"/>
      <c r="C46" s="346"/>
      <c r="D46" s="346"/>
      <c r="E46" s="346"/>
      <c r="F46" s="346"/>
    </row>
    <row r="47" spans="2:6" s="51" customFormat="1" x14ac:dyDescent="0.25">
      <c r="B47" s="346"/>
      <c r="C47" s="346"/>
      <c r="D47" s="346"/>
      <c r="E47" s="346"/>
      <c r="F47" s="346"/>
    </row>
    <row r="48" spans="2:6" s="51" customFormat="1" x14ac:dyDescent="0.25">
      <c r="B48" s="346"/>
      <c r="C48" s="346"/>
      <c r="D48" s="346"/>
      <c r="E48" s="346"/>
      <c r="F48" s="346"/>
    </row>
    <row r="49" spans="1:16" s="51" customFormat="1" x14ac:dyDescent="0.25">
      <c r="B49" s="346"/>
      <c r="C49" s="346"/>
      <c r="D49" s="346"/>
      <c r="E49" s="346"/>
      <c r="F49" s="346"/>
    </row>
    <row r="50" spans="1:16" s="51" customFormat="1" x14ac:dyDescent="0.25">
      <c r="B50" s="346"/>
      <c r="C50" s="346"/>
      <c r="D50" s="346"/>
      <c r="E50" s="346"/>
      <c r="F50" s="346"/>
    </row>
    <row r="51" spans="1:16" s="51" customFormat="1" ht="18.75" customHeight="1" x14ac:dyDescent="0.25">
      <c r="B51" s="346"/>
      <c r="C51" s="346"/>
      <c r="D51" s="346"/>
      <c r="E51" s="346"/>
      <c r="F51" s="346"/>
    </row>
    <row r="53" spans="1:16" x14ac:dyDescent="0.25">
      <c r="A53" s="309" t="s">
        <v>266</v>
      </c>
      <c r="B53" s="309"/>
      <c r="C53" s="309"/>
      <c r="D53" s="309"/>
      <c r="E53" s="309"/>
      <c r="F53" s="309"/>
      <c r="G53" s="10"/>
      <c r="H53" s="10"/>
      <c r="I53" s="10"/>
      <c r="J53" s="10"/>
      <c r="K53" s="10"/>
      <c r="L53" s="10"/>
      <c r="M53" s="10"/>
      <c r="N53" s="10"/>
      <c r="O53" s="10"/>
      <c r="P53" s="10"/>
    </row>
    <row r="54" spans="1:16" ht="15.75" thickBot="1" x14ac:dyDescent="0.3"/>
    <row r="55" spans="1:16" ht="15.75" thickTop="1" x14ac:dyDescent="0.25">
      <c r="B55" s="348" t="s">
        <v>2</v>
      </c>
      <c r="C55" s="349"/>
      <c r="D55" s="349"/>
      <c r="E55" s="349"/>
      <c r="F55" s="350"/>
    </row>
    <row r="56" spans="1:16" x14ac:dyDescent="0.25">
      <c r="B56" s="352"/>
      <c r="C56" s="353"/>
      <c r="D56" s="39" t="s">
        <v>31</v>
      </c>
      <c r="E56" s="40" t="s">
        <v>32</v>
      </c>
      <c r="F56" s="39" t="s">
        <v>33</v>
      </c>
    </row>
    <row r="57" spans="1:16" x14ac:dyDescent="0.25">
      <c r="B57" s="363" t="s">
        <v>64</v>
      </c>
      <c r="C57" s="364"/>
      <c r="D57" s="178">
        <f>SUM(E97:E192)</f>
        <v>1708269.2307692308</v>
      </c>
      <c r="E57" s="179">
        <f>SUM(F97:F192)</f>
        <v>9520512.82051282</v>
      </c>
      <c r="F57" s="178">
        <f>SUM(G97:G192)</f>
        <v>10171282.051282052</v>
      </c>
    </row>
    <row r="58" spans="1:16" x14ac:dyDescent="0.25">
      <c r="B58" s="356" t="s">
        <v>65</v>
      </c>
      <c r="C58" s="357"/>
      <c r="D58" s="178">
        <f>SUM(H97:H192)</f>
        <v>569423.07692307699</v>
      </c>
      <c r="E58" s="179">
        <f>SUM(I97:I192)</f>
        <v>0</v>
      </c>
      <c r="F58" s="178">
        <f>SUM(J97:J192)</f>
        <v>0</v>
      </c>
    </row>
    <row r="59" spans="1:16" x14ac:dyDescent="0.25">
      <c r="B59" s="354" t="s">
        <v>324</v>
      </c>
      <c r="C59" s="355"/>
      <c r="D59" s="180">
        <f>1.381*((100*Surf_Mat_Silt_UR_CR/12)^0.7)*((Veh_W_LQ_CR/2.72)^0.45)*1000</f>
        <v>4900.5724373439634</v>
      </c>
      <c r="E59" s="181">
        <f>1.381*((100*Surf_Mat_Silt_UR_CR/12)^0.7)*((Veh_W_MQ_CR/2.72)^0.45)*1000</f>
        <v>4222.669927791223</v>
      </c>
      <c r="F59" s="180">
        <f>1.381*((100*Surf_Mat_Silt_UR_CR/12)^0.7)*((Veh_W_SQ_CR/2.72)^0.45)*1000</f>
        <v>3325.7157008472441</v>
      </c>
      <c r="G59" s="51" t="s">
        <v>361</v>
      </c>
    </row>
    <row r="60" spans="1:16" x14ac:dyDescent="0.25">
      <c r="B60" s="354" t="s">
        <v>325</v>
      </c>
      <c r="C60" s="355"/>
      <c r="D60" s="178">
        <f>0.423*((100*Surf_Mat_Silt_UR_CR/12)^0.9)*((Veh_W_LQ_CR/2.72)^0.45)*1000</f>
        <v>1417.1171520287533</v>
      </c>
      <c r="E60" s="178">
        <f>0.423*((100*Surf_Mat_Silt_UR_CR/12)^0.9)*((Veh_W_MQ_CR/2.72)^0.45)*1000</f>
        <v>1221.0855075682155</v>
      </c>
      <c r="F60" s="178">
        <f>0.423*((100*Surf_Mat_Silt_UR_CR/12)^0.9)*((Veh_W_SQ_CR/2.72)^0.45)*1000</f>
        <v>961.70984567596611</v>
      </c>
      <c r="G60" s="51" t="s">
        <v>361</v>
      </c>
    </row>
    <row r="61" spans="1:16" x14ac:dyDescent="0.25">
      <c r="B61" s="354" t="s">
        <v>326</v>
      </c>
      <c r="C61" s="355"/>
      <c r="D61" s="182">
        <f>0.042*((100*Surf_Mat_Silt_UR_CR/12)^0.9)*((Veh_W_LQ_CR/2.72)^0.45)*1000</f>
        <v>140.70666757732303</v>
      </c>
      <c r="E61" s="182">
        <f>0.042*((100*Surf_Mat_Silt_UR_CR/12)^0.9)*((Veh_W_MQ_CR/2.72)^0.45)*1000</f>
        <v>121.24253266634761</v>
      </c>
      <c r="F61" s="182">
        <f>0.042*((100*Surf_Mat_Silt_UR_CR/12)^0.9)*((Veh_W_SQ_CR/2.72)^0.45)*1000</f>
        <v>95.488920847259052</v>
      </c>
      <c r="G61" s="51" t="s">
        <v>361</v>
      </c>
    </row>
    <row r="62" spans="1:16" x14ac:dyDescent="0.25">
      <c r="B62" s="363" t="s">
        <v>327</v>
      </c>
      <c r="C62" s="364"/>
      <c r="D62" s="136">
        <f>3.23*(Surf_Mat_Silt_PR_CR)^0.91*(Veh_W_LQ_CR*1.1)^1.02</f>
        <v>1190.6093281647334</v>
      </c>
      <c r="E62" s="136">
        <f>3.23*(Surf_Mat_Silt_PR_CR)^0.91*(Veh_W_MQ_CR*1.1)^1.02</f>
        <v>849.58599517406708</v>
      </c>
      <c r="F62" s="136">
        <f>3.23*(Surf_Mat_Silt_PR_CR)^0.91*(Veh_W_SQ_CR*1.1)^1.02</f>
        <v>494.48081336804637</v>
      </c>
      <c r="G62" s="51" t="s">
        <v>361</v>
      </c>
    </row>
    <row r="63" spans="1:16" x14ac:dyDescent="0.25">
      <c r="B63" s="354" t="s">
        <v>328</v>
      </c>
      <c r="C63" s="355"/>
      <c r="D63" s="134">
        <f>0.62*(Surf_Mat_Silt_PR_CR)^0.91*(Veh_W_LQ_CR*1.1)^1.02</f>
        <v>228.53801345576926</v>
      </c>
      <c r="E63" s="134">
        <f>0.62*(Surf_Mat_Silt_PR_CR)^0.91*(Veh_W_MQ_CR*1.1)^1.02</f>
        <v>163.07842631824198</v>
      </c>
      <c r="F63" s="134">
        <f>0.62*(Surf_Mat_Silt_PR_CR)^0.91*(Veh_W_SQ_CR*1.1)^1.02</f>
        <v>94.915821761049145</v>
      </c>
      <c r="G63" s="51" t="s">
        <v>361</v>
      </c>
    </row>
    <row r="64" spans="1:16" x14ac:dyDescent="0.25">
      <c r="B64" s="356" t="s">
        <v>329</v>
      </c>
      <c r="C64" s="357"/>
      <c r="D64" s="138">
        <f>0.15*(Surf_Mat_Silt_PR_CR)^0.91*(Veh_W_LQ_CR*1.1)^1.02</f>
        <v>55.291454868331272</v>
      </c>
      <c r="E64" s="138">
        <f>0.15*(Surf_Mat_Silt_PR_CR)^0.91*(Veh_W_MQ_CR*1.1)^1.02</f>
        <v>39.454457980219829</v>
      </c>
      <c r="F64" s="138">
        <f>0.15*(Surf_Mat_Silt_PR_CR)^0.91*(Veh_W_SQ_CR*1.1)^1.02</f>
        <v>22.963505264769953</v>
      </c>
      <c r="G64" s="51" t="s">
        <v>361</v>
      </c>
    </row>
    <row r="65" spans="2:15" x14ac:dyDescent="0.25">
      <c r="B65" s="363" t="s">
        <v>358</v>
      </c>
      <c r="C65" s="364"/>
      <c r="D65" s="183">
        <f>IF(D57&gt;0,(SUMPRODUCT(E97:E192,$C$97:$C$192)/SUM(E97:E192))*(((1-Rwat_Eff_CR)*Rwat_Use_LQ_CR)+(1-Rwat_Use_LQ_CR)),"0%")</f>
        <v>0.32247602739726028</v>
      </c>
      <c r="E65" s="183">
        <f>IF(E57&gt;0,(SUMPRODUCT(F97:F192,$C$97:$C$192)/SUM(F97:F192))*(((1-Rwat_Eff_CR)*Rwat_Use_MQ_CR)+(1-Rwat_Use_MQ_CR)),"0%")</f>
        <v>0.34143904109589046</v>
      </c>
      <c r="F65" s="183">
        <f>IF(F57&gt;0,(SUMPRODUCT(G97:G192,$C$97:$C$192)/SUM(G97:G192))*(((1-Rwat_Eff_CR)*Rwat_Use_SQ_CR)+(1-Rwat_Use_SQ_CR)),"0%")</f>
        <v>0.49309931506849314</v>
      </c>
      <c r="H65" s="19"/>
    </row>
    <row r="66" spans="2:15" s="51" customFormat="1" x14ac:dyDescent="0.25">
      <c r="B66" s="356" t="s">
        <v>359</v>
      </c>
      <c r="C66" s="357"/>
      <c r="D66" s="183">
        <f>IF(D58&gt;0,(SUMPRODUCT(H97:H192,$D$97:$D$192)/SUM(H97:H192)),"0%")</f>
        <v>0.9188356164383561</v>
      </c>
      <c r="E66" s="183" t="str">
        <f>IF(E58&gt;0,(SUMPRODUCT(I97:I192,$D$97:$D$192)/SUM(I97:I192)),"0%")</f>
        <v>0%</v>
      </c>
      <c r="F66" s="183" t="str">
        <f>IF(F58&gt;0,(SUMPRODUCT(J97:J192,$D$97:$D$192)/SUM(J97:J192)),"0%")</f>
        <v>0%</v>
      </c>
      <c r="H66" s="19"/>
    </row>
    <row r="67" spans="2:15" x14ac:dyDescent="0.25">
      <c r="B67" s="354" t="s">
        <v>321</v>
      </c>
      <c r="C67" s="355"/>
      <c r="D67" s="180">
        <f>(D$57*D59*D$65+D$58*D62*D$66)/10^6</f>
        <v>3322.5413176293409</v>
      </c>
      <c r="E67" s="180">
        <f>(E$57*E59*E$65+E$58*E62*E$66)/10^6</f>
        <v>13726.526588610846</v>
      </c>
      <c r="F67" s="180">
        <f>(F$57*F59*F$65+F$58*F62*F$66)/10^6</f>
        <v>16679.968171143049</v>
      </c>
      <c r="H67" s="51"/>
    </row>
    <row r="68" spans="2:15" x14ac:dyDescent="0.25">
      <c r="B68" s="354" t="s">
        <v>322</v>
      </c>
      <c r="C68" s="355"/>
      <c r="D68" s="178">
        <f t="shared" ref="D68:E69" si="0">(D$57*D60*D$65+D$58*D63*D$66)/10^6</f>
        <v>900.22815794144128</v>
      </c>
      <c r="E68" s="178">
        <f t="shared" si="0"/>
        <v>3969.3518492386384</v>
      </c>
      <c r="F68" s="178">
        <f t="shared" ref="F68" si="1">(F$57*F60*F$65+F$58*F63*F$66)/10^6</f>
        <v>4823.4097736205786</v>
      </c>
      <c r="G68" s="11"/>
      <c r="L68" s="186"/>
    </row>
    <row r="69" spans="2:15" x14ac:dyDescent="0.25">
      <c r="B69" s="354" t="s">
        <v>323</v>
      </c>
      <c r="C69" s="355"/>
      <c r="D69" s="182">
        <f t="shared" si="0"/>
        <v>106.44074086676272</v>
      </c>
      <c r="E69" s="182">
        <f t="shared" si="0"/>
        <v>394.12004176837536</v>
      </c>
      <c r="F69" s="182">
        <f t="shared" ref="F69" si="2">(F$57*F61*F$65+F$58*F64*F$66)/10^6</f>
        <v>478.92011936658224</v>
      </c>
      <c r="G69" s="11"/>
      <c r="L69" s="186"/>
    </row>
    <row r="70" spans="2:15" x14ac:dyDescent="0.25">
      <c r="B70" s="363" t="s">
        <v>309</v>
      </c>
      <c r="C70" s="364"/>
      <c r="D70" s="184">
        <f>IF(D67&gt;0,D67*10^6/(Prod_CR*Size_dist_LQ_CR*10^3),(Dist_Uroad_LQ_CR*D59*AVERAGE($C$97:$C$192)*((((1-Rwat_Eff_CR)*Rwat_Use_LQ_CR)+(1-Rwat_Use_LQ_CR)))+Dist_Proad_LQ_CR*D62*AVERAGE($D$97:$D$192))/(Std_Prod_LQ_CR*10^3))</f>
        <v>47.464875966133448</v>
      </c>
      <c r="E70" s="184">
        <f>IF(E67&gt;0,E67*10^6/(Prod_CR*Size_dist_MQ_CR*10^3),(Dist_Uroad_MQ_CR*E59*AVERAGE($C$97:$C$192)*((((1-Rwat_Eff_CR)*Rwat_Use_MQ_CR)+(1-Rwat_Use_MQ_CR)))+Dist_Proad_MQ_CR*E62*AVERAGE($D$97:$D$192))/(Std_Prod_MQ_CR*10^3))</f>
        <v>137.26526588610847</v>
      </c>
      <c r="F70" s="184">
        <f>IF(F67&gt;0,F67*10^6/(Prod_CR*Size_dist_SQ_CR*10^3),(Dist_Uroad_SQ_CR*F59*AVERAGE($C$97:$C$192)*((((1-Rwat_Eff_CR)*Rwat_Use_SQ_CR)+(1-Rwat_Use_SQ_CR)))+Dist_Proad_SQ_CR*F62*AVERAGE($D$97:$D$192))/(Std_Prod_SQ_CR*10^3))</f>
        <v>555.99893903810164</v>
      </c>
      <c r="G70" s="42"/>
      <c r="L70" s="186"/>
    </row>
    <row r="71" spans="2:15" x14ac:dyDescent="0.25">
      <c r="B71" s="354" t="s">
        <v>310</v>
      </c>
      <c r="C71" s="355"/>
      <c r="D71" s="184">
        <f>IF(D68&gt;0,D68*10^6/(Prod_CR*Size_dist_LQ_CR*10^3),(Dist_Uroad_LQ_CR*D60*AVERAGE($C$97:$C$192)*((((1-Rwat_Eff_CR)*Rwat_Use_LQ_CR)+(1-Rwat_Use_LQ_CR)))+Dist_Proad_LQ_CR*D63*AVERAGE($D$97:$D$192))/(Std_Prod_LQ_CR*10^3))</f>
        <v>12.860402256306305</v>
      </c>
      <c r="E71" s="184">
        <f>IF(E68&gt;0,E68*10^6/(Prod_CR*Size_dist_MQ_CR*10^3),(Dist_Uroad_MQ_CR*E60*AVERAGE($C$97:$C$192)*((((1-Rwat_Eff_CR)*Rwat_Use_MQ_CR)+(1-Rwat_Use_MQ_CR)))+Dist_Proad_MQ_CR*E63*AVERAGE($D$97:$D$192))/(Std_Prod_MQ_CR*10^3))</f>
        <v>39.693518492386382</v>
      </c>
      <c r="F71" s="184">
        <f>IF(F68&gt;0,F68*10^6/(Prod_CR*Size_dist_SQ_CR*10^3),(Dist_Uroad_SQ_CR*F60*AVERAGE($C$97:$C$192)*((((1-Rwat_Eff_CR)*Rwat_Use_SQ_CR)+(1-Rwat_Use_SQ_CR)))+Dist_Proad_SQ_CR*F63*AVERAGE($D$97:$D$192))/(Std_Prod_SQ_CR*10^3))</f>
        <v>160.78032578735264</v>
      </c>
      <c r="G71" s="42"/>
      <c r="L71" s="186"/>
    </row>
    <row r="72" spans="2:15" ht="15.75" thickBot="1" x14ac:dyDescent="0.3">
      <c r="B72" s="361" t="s">
        <v>311</v>
      </c>
      <c r="C72" s="362"/>
      <c r="D72" s="185">
        <f>IF(D69&gt;0,D69*10^6/(Prod_CR*Size_dist_LQ_CR*10^3),(Dist_Uroad_LQ_CR*D61*AVERAGE($C$97:$C$192)*((((1-Rwat_Eff_CR)*Rwat_Use_LQ_CR)+(1-Rwat_Use_LQ_CR)))+Dist_Proad_LQ_CR*D64*AVERAGE($D$97:$D$192))/(Std_Prod_LQ_CR*10^3))</f>
        <v>1.5205820123823246</v>
      </c>
      <c r="E72" s="185">
        <f>IF(E69&gt;0,E69*10^6/(Prod_CR*Size_dist_MQ_CR*10^3),(Dist_Uroad_MQ_CR*E61*AVERAGE($C$97:$C$192)*((((1-Rwat_Eff_CR)*Rwat_Use_MQ_CR)+(1-Rwat_Use_MQ_CR)))+Dist_Proad_MQ_CR*E64*AVERAGE($D$97:$D$192))/(Std_Prod_MQ_CR*10^3))</f>
        <v>3.9412004176837532</v>
      </c>
      <c r="F72" s="185">
        <f>IF(F69&gt;0,F69*10^6/(Prod_CR*Size_dist_SQ_CR*10^3),(Dist_Uroad_SQ_CR*F61*AVERAGE($C$97:$C$192)*((((1-Rwat_Eff_CR)*Rwat_Use_SQ_CR)+(1-Rwat_Use_SQ_CR)))+Dist_Proad_SQ_CR*F64*AVERAGE($D$97:$D$192))/(Std_Prod_SQ_CR*10^3))</f>
        <v>15.964003978886074</v>
      </c>
      <c r="G72" s="42"/>
      <c r="L72" s="186"/>
    </row>
    <row r="73" spans="2:15" s="51" customFormat="1" ht="16.5" thickTop="1" thickBot="1" x14ac:dyDescent="0.3">
      <c r="C73" s="19"/>
      <c r="D73" s="174"/>
      <c r="E73" s="175"/>
      <c r="F73" s="175"/>
      <c r="G73" s="177"/>
      <c r="H73" s="176"/>
      <c r="K73" s="175"/>
      <c r="L73" s="187"/>
      <c r="M73" s="175"/>
      <c r="N73" s="176"/>
      <c r="O73" s="17"/>
    </row>
    <row r="74" spans="2:15" s="51" customFormat="1" ht="15.75" thickTop="1" x14ac:dyDescent="0.25">
      <c r="B74" s="348" t="s">
        <v>4</v>
      </c>
      <c r="C74" s="349"/>
      <c r="D74" s="349"/>
      <c r="E74" s="349"/>
      <c r="F74" s="350"/>
      <c r="G74" s="177"/>
      <c r="H74"/>
      <c r="K74" s="175"/>
      <c r="L74" s="188"/>
      <c r="M74" s="175"/>
      <c r="N74" s="176"/>
      <c r="O74" s="17"/>
    </row>
    <row r="75" spans="2:15" s="51" customFormat="1" x14ac:dyDescent="0.25">
      <c r="B75" s="352"/>
      <c r="C75" s="353"/>
      <c r="D75" s="39" t="s">
        <v>31</v>
      </c>
      <c r="E75" s="40" t="s">
        <v>32</v>
      </c>
      <c r="F75" s="39" t="s">
        <v>33</v>
      </c>
      <c r="G75" s="177"/>
      <c r="H75"/>
      <c r="K75" s="175"/>
      <c r="L75" s="175"/>
      <c r="M75" s="175"/>
      <c r="N75" s="176"/>
      <c r="O75" s="17"/>
    </row>
    <row r="76" spans="2:15" s="51" customFormat="1" x14ac:dyDescent="0.25">
      <c r="B76" s="363" t="s">
        <v>64</v>
      </c>
      <c r="C76" s="364"/>
      <c r="D76" s="134">
        <f>SUM(K97:K192)</f>
        <v>0</v>
      </c>
      <c r="E76" s="135">
        <f>SUM(L97:L192)</f>
        <v>2486924.4935543281</v>
      </c>
      <c r="F76" s="134">
        <f>SUM(M97:M192)</f>
        <v>2815469.6132596694</v>
      </c>
      <c r="G76" s="177"/>
      <c r="H76"/>
      <c r="K76" s="175"/>
      <c r="L76" s="175"/>
      <c r="M76" s="175"/>
      <c r="N76" s="176"/>
      <c r="O76" s="17"/>
    </row>
    <row r="77" spans="2:15" s="51" customFormat="1" x14ac:dyDescent="0.25">
      <c r="B77" s="356" t="s">
        <v>65</v>
      </c>
      <c r="C77" s="357"/>
      <c r="D77" s="134">
        <f>SUM(N97:N192)</f>
        <v>0</v>
      </c>
      <c r="E77" s="135">
        <f>SUM(O97:O192)</f>
        <v>0</v>
      </c>
      <c r="F77" s="134">
        <f>SUM(P97:P192)</f>
        <v>0</v>
      </c>
      <c r="G77" s="177"/>
      <c r="H77"/>
      <c r="K77" s="175"/>
      <c r="L77" s="175"/>
      <c r="M77" s="175"/>
      <c r="N77" s="176"/>
      <c r="O77" s="17"/>
    </row>
    <row r="78" spans="2:15" s="51" customFormat="1" x14ac:dyDescent="0.25">
      <c r="B78" s="354" t="s">
        <v>324</v>
      </c>
      <c r="C78" s="355"/>
      <c r="D78" s="136">
        <f>1.381*((100*Surf_Mat_Silt_UR_SG/12)^0.7)*((Veh_W_LQ_SG/2.72)^0.45)*1000</f>
        <v>3308.5985604018697</v>
      </c>
      <c r="E78" s="137">
        <f>1.381*((100*Surf_Mat_Silt_UR_SG/12)^0.7)*((Veh_W_MQ_SG/2.72)^0.45)*1000</f>
        <v>2645.0594264836445</v>
      </c>
      <c r="F78" s="136">
        <f>1.381*((100*Surf_Mat_Silt_UR_SG/12)^0.7)*((Veh_W_SQ_SG/2.72)^0.45)*1000</f>
        <v>2203.9125968194689</v>
      </c>
      <c r="G78" s="51" t="s">
        <v>361</v>
      </c>
      <c r="K78" s="175"/>
      <c r="L78" s="175"/>
      <c r="M78" s="175"/>
      <c r="N78" s="176"/>
      <c r="O78" s="17"/>
    </row>
    <row r="79" spans="2:15" s="51" customFormat="1" x14ac:dyDescent="0.25">
      <c r="B79" s="354" t="s">
        <v>325</v>
      </c>
      <c r="C79" s="355"/>
      <c r="D79" s="134">
        <f>0.423*((100*Surf_Mat_Silt_UR_SG/12)^0.9)*((Veh_W_LQ_SG/2.72)^0.45)*1000</f>
        <v>850.64531982414087</v>
      </c>
      <c r="E79" s="134">
        <f>0.423*((100*Surf_Mat_Silt_UR_SG/12)^0.9)*((Veh_W_MQ_SG/2.72)^0.45)*1000</f>
        <v>680.04847995876162</v>
      </c>
      <c r="F79" s="134">
        <f>0.423*((100*Surf_Mat_Silt_UR_SG/12)^0.9)*((Veh_W_SQ_SG/2.72)^0.45)*1000</f>
        <v>566.62901272562931</v>
      </c>
      <c r="G79" s="51" t="s">
        <v>361</v>
      </c>
      <c r="K79" s="175"/>
      <c r="L79" s="175"/>
      <c r="M79" s="175"/>
      <c r="N79" s="176"/>
      <c r="O79" s="17"/>
    </row>
    <row r="80" spans="2:15" s="51" customFormat="1" x14ac:dyDescent="0.25">
      <c r="B80" s="354" t="s">
        <v>326</v>
      </c>
      <c r="C80" s="355"/>
      <c r="D80" s="138">
        <f>0.042*((100*Surf_Mat_Silt_UR_SG/12)^0.9)*((Veh_W_LQ_SG/2.72)^0.45)*1000</f>
        <v>84.461237429347321</v>
      </c>
      <c r="E80" s="138">
        <f>0.042*((100*Surf_Mat_Silt_UR_SG/12)^0.9)*((Veh_W_MQ_SG/2.72)^0.45)*1000</f>
        <v>67.52254410938059</v>
      </c>
      <c r="F80" s="138">
        <f>0.042*((100*Surf_Mat_Silt_UR_SG/12)^0.9)*((Veh_W_SQ_SG/2.72)^0.45)*1000</f>
        <v>56.261036724530562</v>
      </c>
      <c r="G80" s="51" t="s">
        <v>361</v>
      </c>
      <c r="K80" s="175"/>
      <c r="L80" s="175"/>
      <c r="M80" s="175"/>
      <c r="N80" s="176"/>
      <c r="O80" s="17"/>
    </row>
    <row r="81" spans="2:16" s="51" customFormat="1" x14ac:dyDescent="0.25">
      <c r="B81" s="363" t="s">
        <v>327</v>
      </c>
      <c r="C81" s="364"/>
      <c r="D81" s="136">
        <f>3.23*(Surf_Mat_Silt_PR_SG)^0.91*(Veh_W_LQ_SG*1.1)^1.02</f>
        <v>1241.9443019267885</v>
      </c>
      <c r="E81" s="136">
        <f>3.23*(Surf_Mat_Silt_PR_SG)^0.91*(Veh_W_MQ_SG*1.1)^1.02</f>
        <v>747.76051568643584</v>
      </c>
      <c r="F81" s="136">
        <f>3.23*(Surf_Mat_Silt_PR_SG)^0.91*(Veh_W_SQ_SG*1.1)^1.02</f>
        <v>494.48081336804637</v>
      </c>
      <c r="G81" s="51" t="s">
        <v>361</v>
      </c>
      <c r="H81"/>
      <c r="K81" s="175"/>
      <c r="L81" s="175"/>
      <c r="M81" s="175"/>
      <c r="N81" s="176"/>
      <c r="O81" s="17"/>
    </row>
    <row r="82" spans="2:16" s="51" customFormat="1" x14ac:dyDescent="0.25">
      <c r="B82" s="354" t="s">
        <v>328</v>
      </c>
      <c r="C82" s="355"/>
      <c r="D82" s="134">
        <f>0.62*(Surf_Mat_Silt_PR_SG)^0.91*(Veh_W_LQ_SG*1.1)^1.02</f>
        <v>238.39178550916682</v>
      </c>
      <c r="E82" s="134">
        <f>0.62*(Surf_Mat_Silt_PR_SG)^0.91*(Veh_W_MQ_SG*1.1)^1.02</f>
        <v>143.53297824321677</v>
      </c>
      <c r="F82" s="134">
        <f>0.62*(Surf_Mat_Silt_PR_SG)^0.91*(Veh_W_SQ_SG*1.1)^1.02</f>
        <v>94.915821761049145</v>
      </c>
      <c r="G82" s="51" t="s">
        <v>361</v>
      </c>
      <c r="H82"/>
      <c r="K82" s="175"/>
      <c r="L82" s="175"/>
      <c r="M82" s="175"/>
      <c r="N82" s="176"/>
      <c r="O82" s="17"/>
    </row>
    <row r="83" spans="2:16" s="51" customFormat="1" x14ac:dyDescent="0.25">
      <c r="B83" s="356" t="s">
        <v>329</v>
      </c>
      <c r="C83" s="357"/>
      <c r="D83" s="138">
        <f>0.15*(Surf_Mat_Silt_PR_SG)^0.91*(Veh_W_LQ_SG*1.1)^1.02</f>
        <v>57.675431978024228</v>
      </c>
      <c r="E83" s="138">
        <f>0.15*(Surf_Mat_Silt_PR_SG)^0.91*(Veh_W_MQ_SG*1.1)^1.02</f>
        <v>34.725720542713731</v>
      </c>
      <c r="F83" s="138">
        <f>0.15*(Surf_Mat_Silt_PR_SG)^0.91*(Veh_W_SQ_SG*1.1)^1.02</f>
        <v>22.963505264769953</v>
      </c>
      <c r="G83" s="51" t="s">
        <v>361</v>
      </c>
      <c r="H83"/>
      <c r="K83" s="175"/>
      <c r="L83" s="175"/>
      <c r="M83" s="175"/>
      <c r="N83" s="176"/>
      <c r="O83" s="17"/>
    </row>
    <row r="84" spans="2:16" s="51" customFormat="1" x14ac:dyDescent="0.25">
      <c r="B84" s="363" t="s">
        <v>358</v>
      </c>
      <c r="C84" s="364"/>
      <c r="D84" s="84" t="str">
        <f>IF(D76&gt;0,(SUMPRODUCT(K97:K192,$C$97:$C$192)/SUM(K97:K192))*(((1-Rwat_Eff_SG)*Rwat_Use_LQ_SG)+(1-Rwat_Use_LQ_SG)),"0%")</f>
        <v>0%</v>
      </c>
      <c r="E84" s="84">
        <f>IF(E76&gt;0,(SUMPRODUCT(L97:L192,$C$97:$C$192)/SUM(L97:L192))*(((1-Rwat_Eff_SG)*Rwat_Use_MQ_SG)+(1-Rwat_Use_MQ_SG)),"0%")</f>
        <v>0.24813287671232884</v>
      </c>
      <c r="F84" s="84">
        <f>IF(F76&gt;0,(SUMPRODUCT(M97:M192,$C$97:$C$192)/SUM(M97:M192))*(((1-Rwat_Eff_SG)*Rwat_Use_SQ_SG)+(1-Rwat_Use_SQ_SG)),"0%")</f>
        <v>0.44208904109589037</v>
      </c>
      <c r="G84" s="177"/>
      <c r="H84" s="19"/>
      <c r="K84" s="175"/>
      <c r="L84" s="175"/>
      <c r="M84" s="175"/>
      <c r="N84" s="176"/>
      <c r="O84" s="17"/>
    </row>
    <row r="85" spans="2:16" s="51" customFormat="1" x14ac:dyDescent="0.25">
      <c r="B85" s="356" t="s">
        <v>359</v>
      </c>
      <c r="C85" s="357"/>
      <c r="D85" s="84" t="str">
        <f>IF(D77&gt;0,(SUMPRODUCT(N97:N192,$D$97:$D$192)/SUM(N97:N192)),"0%")</f>
        <v>0%</v>
      </c>
      <c r="E85" s="84" t="str">
        <f>IF(E77&gt;0,(SUMPRODUCT(O97:O192,$D$97:$D$192)/SUM(O97:O192)),"0%")</f>
        <v>0%</v>
      </c>
      <c r="F85" s="84" t="str">
        <f>IF(F77&gt;0,(SUMPRODUCT(P97:P192,$D$97:$D$192)/SUM(P97:P192)),"0%")</f>
        <v>0%</v>
      </c>
      <c r="G85" s="177"/>
      <c r="H85" s="19"/>
      <c r="K85" s="175"/>
      <c r="L85" s="175"/>
      <c r="M85" s="175"/>
      <c r="N85" s="176"/>
      <c r="O85" s="17"/>
    </row>
    <row r="86" spans="2:16" s="51" customFormat="1" x14ac:dyDescent="0.25">
      <c r="B86" s="354" t="s">
        <v>321</v>
      </c>
      <c r="C86" s="355"/>
      <c r="D86" s="136">
        <f>(D$76*D78*D$84+D$77*D81*D$85)/10^6</f>
        <v>0</v>
      </c>
      <c r="E86" s="136">
        <f>(E$76*E78*E$84+E$77*E81*E$85)/10^6</f>
        <v>1632.2337139028255</v>
      </c>
      <c r="F86" s="136">
        <f>(F$76*F78*F$84+F$77*F81*F$85)/10^6</f>
        <v>2743.1841387666977</v>
      </c>
      <c r="G86" s="177"/>
      <c r="H86"/>
      <c r="K86" s="175"/>
      <c r="L86" s="175"/>
      <c r="M86" s="175"/>
      <c r="N86" s="176"/>
      <c r="O86" s="17"/>
    </row>
    <row r="87" spans="2:16" s="51" customFormat="1" x14ac:dyDescent="0.25">
      <c r="B87" s="354" t="s">
        <v>322</v>
      </c>
      <c r="C87" s="355"/>
      <c r="D87" s="134">
        <f t="shared" ref="D87:E88" si="3">(D$76*D79*D$84+D$77*D82*D$85)/10^6</f>
        <v>0</v>
      </c>
      <c r="E87" s="134">
        <f t="shared" si="3"/>
        <v>419.64957193899335</v>
      </c>
      <c r="F87" s="134">
        <f t="shared" ref="F87" si="4">(F$76*F79*F$84+F$77*F82*F$85)/10^6</f>
        <v>705.27648079925393</v>
      </c>
      <c r="G87" s="177"/>
      <c r="H87"/>
      <c r="K87" s="175"/>
      <c r="L87" s="175"/>
      <c r="M87" s="175"/>
      <c r="N87" s="176"/>
      <c r="O87" s="17"/>
    </row>
    <row r="88" spans="2:16" s="51" customFormat="1" x14ac:dyDescent="0.25">
      <c r="B88" s="354" t="s">
        <v>323</v>
      </c>
      <c r="C88" s="355"/>
      <c r="D88" s="138">
        <f t="shared" si="3"/>
        <v>0</v>
      </c>
      <c r="E88" s="138">
        <f t="shared" si="3"/>
        <v>41.667333384013517</v>
      </c>
      <c r="F88" s="138">
        <f t="shared" ref="F88" si="5">(F$76*F80*F$84+F$77*F83*F$85)/10^6</f>
        <v>70.027451994252147</v>
      </c>
      <c r="G88" s="177"/>
      <c r="K88" s="175"/>
      <c r="L88" s="175"/>
      <c r="M88" s="175"/>
      <c r="N88" s="176"/>
      <c r="O88" s="17"/>
    </row>
    <row r="89" spans="2:16" s="51" customFormat="1" x14ac:dyDescent="0.25">
      <c r="B89" s="363" t="s">
        <v>309</v>
      </c>
      <c r="C89" s="364"/>
      <c r="D89" s="184">
        <f>IF(D86&gt;0,D86*10^6/(Prod_SG*Size_dist_LQ_SG*10^3),(Dist_Uroad_LQ_SG*D78*AVERAGE($C$97:$C$192)*((((1-Rwat_Eff_SG)*Rwat_Use_LQ_SG)+(1-Rwat_Use_LQ_SG)))+Dist_Proad_LQ_SG*D81*AVERAGE($D$97:$D$192))/(Std_Prod_LQ_SG*10^3))</f>
        <v>0</v>
      </c>
      <c r="E89" s="184">
        <f>IF(E86&gt;0,E86*10^6/(Prod_SG*Size_dist_MQ_SG*10^3),(Dist_Uroad_MQ_SG*E78*AVERAGE($C$97:$C$192)*((((1-Rwat_Eff_SG)*Rwat_Use_MQ_SG)+Dist_Proad_MQ_SG*E81*AVERAGE($D$97:$D$192))+(1-Rwat_Use_MQ_SG)))/(Std_Prod_MQ_SG*10^3))</f>
        <v>13.057869711222603</v>
      </c>
      <c r="F89" s="184">
        <f>IF(F86&gt;0,F86*10^6/(Prod_SG*Size_dist_SQ_SG*10^3),(Dist_Uroad_SQ_SG*F78*AVERAGE($C$97:$C$192)*((((1-Rwat_Eff_SG)*Rwat_Use_SQ_SG)+(1-Rwat_Use_SQ_SG)))+Dist_Proad_SQ_SG*F81*AVERAGE($D$97:$D$192))/(Std_Prod_SQ_SG*10^3))</f>
        <v>31.350675871619405</v>
      </c>
      <c r="G89" s="42"/>
      <c r="K89" s="175"/>
      <c r="L89" s="175"/>
      <c r="M89" s="175"/>
      <c r="N89" s="176"/>
      <c r="O89" s="17"/>
    </row>
    <row r="90" spans="2:16" s="51" customFormat="1" x14ac:dyDescent="0.25">
      <c r="B90" s="354" t="s">
        <v>310</v>
      </c>
      <c r="C90" s="355"/>
      <c r="D90" s="184">
        <f>IF(D87&gt;0,D87*10^6/(Prod_SG*Size_dist_LQ_SG*10^3),(Dist_Uroad_LQ_SG*D79*AVERAGE($C$97:$C$192)*((((1-Rwat_Eff_SG)*Rwat_Use_LQ_SG)+(1-Rwat_Use_LQ_SG)))+Dist_Proad_LQ_SG*D82*AVERAGE($D$97:$D$192))/(Std_Prod_LQ_SG*10^3))</f>
        <v>0</v>
      </c>
      <c r="E90" s="184">
        <f>IF(E87&gt;0,E87*10^6/(Prod_SG*Size_dist_MQ_SG*10^3),(Dist_Uroad_MQ_SG*E79*AVERAGE($C$97:$C$192)*((((1-Rwat_Eff_SG)*Rwat_Use_MQ_SG)+Dist_Proad_MQ_SG*E82*AVERAGE($D$97:$D$192))+(1-Rwat_Use_MQ_SG)))/(Std_Prod_MQ_SG*10^3))</f>
        <v>3.3571965755119466</v>
      </c>
      <c r="F90" s="184">
        <f>IF(F87&gt;0,F87*10^6/(Prod_SG*Size_dist_SQ_SG*10^3),(Dist_Uroad_SQ_SG*F79*AVERAGE($C$97:$C$192)*((((1-Rwat_Eff_SG)*Rwat_Use_SQ_SG)+(1-Rwat_Use_SQ_SG)))+Dist_Proad_SQ_SG*F82*AVERAGE($D$97:$D$192))/(Std_Prod_SQ_SG*10^3))</f>
        <v>8.0603026377057585</v>
      </c>
      <c r="G90" s="42"/>
      <c r="K90" s="175"/>
      <c r="L90" s="175"/>
      <c r="M90" s="175"/>
      <c r="N90" s="176"/>
      <c r="O90" s="17"/>
    </row>
    <row r="91" spans="2:16" s="51" customFormat="1" ht="15.75" thickBot="1" x14ac:dyDescent="0.3">
      <c r="B91" s="361" t="s">
        <v>311</v>
      </c>
      <c r="C91" s="362"/>
      <c r="D91" s="185">
        <f>IF(D88&gt;0,D88*10^6/(Prod_SG*Size_dist_LQ_SG*10^3),(Dist_Uroad_LQ_SG*D80*AVERAGE($C$97:$C$192)*((((1-Rwat_Eff_SG)*Rwat_Use_LQ_SG)+(1-Rwat_Use_LQ_SG)))+Dist_Proad_LQ_SG*D83*AVERAGE($D$97:$D$192))/(Std_Prod_LQ_SG*10^3))</f>
        <v>0</v>
      </c>
      <c r="E91" s="185">
        <f>IF(E88&gt;0,E88*10^6/(Prod_SG*Size_dist_MQ_SG*10^3),(Dist_Uroad_MQ_SG*E80*AVERAGE($C$97:$C$192)*((((1-Rwat_Eff_SG)*Rwat_Use_MQ_SG)+Dist_Proad_MQ_SG*E83*AVERAGE($D$97:$D$192))+(1-Rwat_Use_MQ_SG)))/(Std_Prod_MQ_SG*10^3))</f>
        <v>0.33333866707210813</v>
      </c>
      <c r="F91" s="185">
        <f>IF(F88&gt;0,F88*10^6/(Prod_SG*Size_dist_SQ_SG*10^3),(Dist_Uroad_SQ_SG*F80*AVERAGE($C$97:$C$192)*((((1-Rwat_Eff_SG)*Rwat_Use_SQ_SG)+(1-Rwat_Use_SQ_SG)))+Dist_Proad_SQ_SG*F83*AVERAGE($D$97:$D$192))/(Std_Prod_SQ_SG*10^3))</f>
        <v>0.80031373707716735</v>
      </c>
      <c r="G91" s="42"/>
      <c r="K91" s="175"/>
      <c r="L91" s="175"/>
      <c r="M91" s="175"/>
      <c r="N91" s="176"/>
      <c r="O91" s="17"/>
    </row>
    <row r="92" spans="2:16" s="51" customFormat="1" ht="15.75" thickTop="1" x14ac:dyDescent="0.25">
      <c r="C92" s="19"/>
      <c r="D92" s="174"/>
      <c r="E92" s="175"/>
      <c r="F92" s="175"/>
      <c r="G92" s="175"/>
      <c r="H92" s="176"/>
      <c r="I92" s="17"/>
      <c r="J92" s="177"/>
      <c r="K92" s="175"/>
      <c r="L92" s="175"/>
      <c r="M92" s="175"/>
      <c r="N92" s="176"/>
      <c r="O92" s="17"/>
    </row>
    <row r="93" spans="2:16" s="51" customFormat="1" x14ac:dyDescent="0.25">
      <c r="B93" s="309" t="s">
        <v>267</v>
      </c>
      <c r="C93" s="309"/>
      <c r="D93" s="309"/>
      <c r="E93" s="309"/>
      <c r="F93" s="309"/>
      <c r="G93" s="309"/>
      <c r="H93" s="309"/>
      <c r="I93" s="309"/>
      <c r="J93" s="309"/>
      <c r="K93" s="309"/>
      <c r="L93" s="309"/>
      <c r="M93" s="309"/>
      <c r="N93" s="309"/>
      <c r="O93" s="309"/>
    </row>
    <row r="94" spans="2:16" ht="15.75" thickBot="1" x14ac:dyDescent="0.3">
      <c r="C94" s="50"/>
      <c r="E94" s="17"/>
      <c r="F94" s="17"/>
      <c r="G94" s="17"/>
      <c r="H94" s="17"/>
      <c r="I94" s="17"/>
      <c r="J94" s="17"/>
      <c r="K94" s="17"/>
      <c r="L94" s="17"/>
      <c r="M94" s="17"/>
      <c r="N94" s="17"/>
      <c r="O94" s="17"/>
    </row>
    <row r="95" spans="2:16" ht="16.5" thickTop="1" thickBot="1" x14ac:dyDescent="0.3">
      <c r="C95" s="188"/>
      <c r="E95" s="358" t="s">
        <v>203</v>
      </c>
      <c r="F95" s="359"/>
      <c r="G95" s="359"/>
      <c r="H95" s="359"/>
      <c r="I95" s="359"/>
      <c r="J95" s="360"/>
      <c r="K95" s="358" t="s">
        <v>4</v>
      </c>
      <c r="L95" s="359"/>
      <c r="M95" s="359"/>
      <c r="N95" s="359"/>
      <c r="O95" s="359"/>
      <c r="P95" s="360"/>
    </row>
    <row r="96" spans="2:16" ht="75.75" thickTop="1" x14ac:dyDescent="0.25">
      <c r="B96" s="90" t="s">
        <v>54</v>
      </c>
      <c r="C96" s="91" t="s">
        <v>372</v>
      </c>
      <c r="D96" s="91" t="s">
        <v>373</v>
      </c>
      <c r="E96" s="92" t="s">
        <v>57</v>
      </c>
      <c r="F96" s="93" t="s">
        <v>58</v>
      </c>
      <c r="G96" s="94" t="s">
        <v>59</v>
      </c>
      <c r="H96" s="95" t="s">
        <v>62</v>
      </c>
      <c r="I96" s="93" t="s">
        <v>60</v>
      </c>
      <c r="J96" s="96" t="s">
        <v>61</v>
      </c>
      <c r="K96" s="92" t="s">
        <v>57</v>
      </c>
      <c r="L96" s="93" t="s">
        <v>58</v>
      </c>
      <c r="M96" s="97" t="s">
        <v>59</v>
      </c>
      <c r="N96" s="98" t="s">
        <v>62</v>
      </c>
      <c r="O96" s="93" t="s">
        <v>60</v>
      </c>
      <c r="P96" s="96" t="s">
        <v>61</v>
      </c>
    </row>
    <row r="97" spans="2:16" x14ac:dyDescent="0.25">
      <c r="B97" s="69">
        <f>IF('Regional data'!B3="","-",'Regional data'!B3)</f>
        <v>1</v>
      </c>
      <c r="C97" s="247">
        <f>1-'Regional data'!V3/365</f>
        <v>0.72602739726027399</v>
      </c>
      <c r="D97" s="247">
        <f>1-'Regional data'!V3/(4*365)</f>
        <v>0.93150684931506844</v>
      </c>
      <c r="E97" s="141">
        <f>Dist_Uroad_LQ_CR*'Regional data'!C3*NB_LQ_CR</f>
        <v>170826.92307692309</v>
      </c>
      <c r="F97" s="142">
        <f>Dist_Uroad_MQ_CR*'Regional data'!D3*NB_MQ_CR</f>
        <v>2856153.846153846</v>
      </c>
      <c r="G97" s="192">
        <f>Dist_Uroad_SQ_CR*'Regional data'!E3*NB_SQ_CR</f>
        <v>1017128.2051282052</v>
      </c>
      <c r="H97" s="142">
        <f>Dist_Proad_LQ_CR*'Regional data'!C3*NB_LQ_CR</f>
        <v>56942.307692307695</v>
      </c>
      <c r="I97" s="142">
        <f>Dist_Proad_MQ_CR*'Regional data'!D3*NB_MQ_CR</f>
        <v>0</v>
      </c>
      <c r="J97" s="134">
        <f>Dist_Proad_SQ_CR*'Regional data'!E3*NB_SQ_CR</f>
        <v>0</v>
      </c>
      <c r="K97" s="141">
        <f>Dist_Uroad_LQ_SG*'Regional data'!I3*NB_LQ_SG</f>
        <v>0</v>
      </c>
      <c r="L97" s="142">
        <f>Dist_Uroad_MQ_SG*'Regional data'!J3*NB_MQ_SG</f>
        <v>746077.34806629852</v>
      </c>
      <c r="M97" s="142">
        <f>Dist_Uroad_SQ_SG*'Regional data'!K3*NB_SQ_SG</f>
        <v>281546.96132596693</v>
      </c>
      <c r="N97" s="191">
        <f>Dist_Proad_LQ_SG*'Regional data'!I3*NB_LQ_SG</f>
        <v>0</v>
      </c>
      <c r="O97" s="142">
        <f>Dist_Proad_MQ_SG*'Regional data'!J3*NB_MQ_SG</f>
        <v>0</v>
      </c>
      <c r="P97" s="134">
        <f>Dist_Proad_SQ_SG*'Regional data'!K3*NB_SQ_SG</f>
        <v>0</v>
      </c>
    </row>
    <row r="98" spans="2:16" x14ac:dyDescent="0.25">
      <c r="B98" s="69">
        <f>IF('Regional data'!B4="","-",'Regional data'!B4)</f>
        <v>2</v>
      </c>
      <c r="C98" s="247">
        <f>1-'Regional data'!V4/365</f>
        <v>0.69863013698630139</v>
      </c>
      <c r="D98" s="247">
        <f>1-'Regional data'!V4/(4*365)</f>
        <v>0.92465753424657537</v>
      </c>
      <c r="E98" s="141">
        <f>Dist_Uroad_LQ_CR*'Regional data'!C4*NB_LQ_CR</f>
        <v>170826.92307692309</v>
      </c>
      <c r="F98" s="142">
        <f>Dist_Uroad_MQ_CR*'Regional data'!D4*NB_MQ_CR</f>
        <v>952051.28205128212</v>
      </c>
      <c r="G98" s="192">
        <f>Dist_Uroad_SQ_CR*'Regional data'!E4*NB_SQ_CR</f>
        <v>2034256.4102564105</v>
      </c>
      <c r="H98" s="142">
        <f>Dist_Proad_LQ_CR*'Regional data'!C4*NB_LQ_CR</f>
        <v>56942.307692307695</v>
      </c>
      <c r="I98" s="142">
        <f>Dist_Proad_MQ_CR*'Regional data'!D4*NB_MQ_CR</f>
        <v>0</v>
      </c>
      <c r="J98" s="134">
        <f>Dist_Proad_SQ_CR*'Regional data'!E4*NB_SQ_CR</f>
        <v>0</v>
      </c>
      <c r="K98" s="141">
        <f>Dist_Uroad_LQ_SG*'Regional data'!I4*NB_LQ_SG</f>
        <v>0</v>
      </c>
      <c r="L98" s="142">
        <f>Dist_Uroad_MQ_SG*'Regional data'!J4*NB_MQ_SG</f>
        <v>248692.44935543285</v>
      </c>
      <c r="M98" s="142">
        <f>Dist_Uroad_SQ_SG*'Regional data'!K4*NB_SQ_SG</f>
        <v>563093.92265193386</v>
      </c>
      <c r="N98" s="191">
        <f>Dist_Proad_LQ_SG*'Regional data'!I4*NB_LQ_SG</f>
        <v>0</v>
      </c>
      <c r="O98" s="142">
        <f>Dist_Proad_MQ_SG*'Regional data'!J4*NB_MQ_SG</f>
        <v>0</v>
      </c>
      <c r="P98" s="134">
        <f>Dist_Proad_SQ_SG*'Regional data'!K4*NB_SQ_SG</f>
        <v>0</v>
      </c>
    </row>
    <row r="99" spans="2:16" x14ac:dyDescent="0.25">
      <c r="B99" s="69">
        <f>IF('Regional data'!B5="","-",'Regional data'!B5)</f>
        <v>3</v>
      </c>
      <c r="C99" s="247">
        <f>1-'Regional data'!V5/365</f>
        <v>0.67123287671232879</v>
      </c>
      <c r="D99" s="247">
        <f>1-'Regional data'!V5/(4*365)</f>
        <v>0.9178082191780822</v>
      </c>
      <c r="E99" s="141">
        <f>Dist_Uroad_LQ_CR*'Regional data'!C5*NB_LQ_CR</f>
        <v>341653.84615384619</v>
      </c>
      <c r="F99" s="142">
        <f>Dist_Uroad_MQ_CR*'Regional data'!D5*NB_MQ_CR</f>
        <v>2856153.846153846</v>
      </c>
      <c r="G99" s="192">
        <f>Dist_Uroad_SQ_CR*'Regional data'!E5*NB_SQ_CR</f>
        <v>4068512.820512821</v>
      </c>
      <c r="H99" s="142">
        <f>Dist_Proad_LQ_CR*'Regional data'!C5*NB_LQ_CR</f>
        <v>113884.61538461539</v>
      </c>
      <c r="I99" s="142">
        <f>Dist_Proad_MQ_CR*'Regional data'!D5*NB_MQ_CR</f>
        <v>0</v>
      </c>
      <c r="J99" s="134">
        <f>Dist_Proad_SQ_CR*'Regional data'!E5*NB_SQ_CR</f>
        <v>0</v>
      </c>
      <c r="K99" s="141">
        <f>Dist_Uroad_LQ_SG*'Regional data'!I5*NB_LQ_SG</f>
        <v>0</v>
      </c>
      <c r="L99" s="142">
        <f>Dist_Uroad_MQ_SG*'Regional data'!J5*NB_MQ_SG</f>
        <v>746077.34806629852</v>
      </c>
      <c r="M99" s="142">
        <f>Dist_Uroad_SQ_SG*'Regional data'!K5*NB_SQ_SG</f>
        <v>1126187.8453038677</v>
      </c>
      <c r="N99" s="191">
        <f>Dist_Proad_LQ_SG*'Regional data'!I5*NB_LQ_SG</f>
        <v>0</v>
      </c>
      <c r="O99" s="142">
        <f>Dist_Proad_MQ_SG*'Regional data'!J5*NB_MQ_SG</f>
        <v>0</v>
      </c>
      <c r="P99" s="134">
        <f>Dist_Proad_SQ_SG*'Regional data'!K5*NB_SQ_SG</f>
        <v>0</v>
      </c>
    </row>
    <row r="100" spans="2:16" x14ac:dyDescent="0.25">
      <c r="B100" s="69">
        <f>IF('Regional data'!B6="","-",'Regional data'!B6)</f>
        <v>4</v>
      </c>
      <c r="C100" s="247">
        <f>1-'Regional data'!V6/365</f>
        <v>0.71232876712328763</v>
      </c>
      <c r="D100" s="247">
        <f>1-'Regional data'!V6/(4*365)</f>
        <v>0.92808219178082196</v>
      </c>
      <c r="E100" s="141">
        <f>Dist_Uroad_LQ_CR*'Regional data'!C6*NB_LQ_CR</f>
        <v>512480.76923076925</v>
      </c>
      <c r="F100" s="142">
        <f>Dist_Uroad_MQ_CR*'Regional data'!D6*NB_MQ_CR</f>
        <v>952051.28205128212</v>
      </c>
      <c r="G100" s="192">
        <f>Dist_Uroad_SQ_CR*'Regional data'!E6*NB_SQ_CR</f>
        <v>1525692.307692308</v>
      </c>
      <c r="H100" s="142">
        <f>Dist_Proad_LQ_CR*'Regional data'!C6*NB_LQ_CR</f>
        <v>170826.92307692309</v>
      </c>
      <c r="I100" s="142">
        <f>Dist_Proad_MQ_CR*'Regional data'!D6*NB_MQ_CR</f>
        <v>0</v>
      </c>
      <c r="J100" s="134">
        <f>Dist_Proad_SQ_CR*'Regional data'!E6*NB_SQ_CR</f>
        <v>0</v>
      </c>
      <c r="K100" s="141">
        <f>Dist_Uroad_LQ_SG*'Regional data'!I6*NB_LQ_SG</f>
        <v>0</v>
      </c>
      <c r="L100" s="142">
        <f>Dist_Uroad_MQ_SG*'Regional data'!J6*NB_MQ_SG</f>
        <v>248692.44935543285</v>
      </c>
      <c r="M100" s="142">
        <f>Dist_Uroad_SQ_SG*'Regional data'!K6*NB_SQ_SG</f>
        <v>422320.44198895036</v>
      </c>
      <c r="N100" s="191">
        <f>Dist_Proad_LQ_SG*'Regional data'!I6*NB_LQ_SG</f>
        <v>0</v>
      </c>
      <c r="O100" s="142">
        <f>Dist_Proad_MQ_SG*'Regional data'!J6*NB_MQ_SG</f>
        <v>0</v>
      </c>
      <c r="P100" s="134">
        <f>Dist_Proad_SQ_SG*'Regional data'!K6*NB_SQ_SG</f>
        <v>0</v>
      </c>
    </row>
    <row r="101" spans="2:16" x14ac:dyDescent="0.25">
      <c r="B101" s="69">
        <f>IF('Regional data'!B7="","-",'Regional data'!B7)</f>
        <v>5</v>
      </c>
      <c r="C101" s="247">
        <f>1-'Regional data'!V7/365</f>
        <v>0.61643835616438358</v>
      </c>
      <c r="D101" s="247">
        <f>1-'Regional data'!V7/(4*365)</f>
        <v>0.90410958904109595</v>
      </c>
      <c r="E101" s="141">
        <f>Dist_Uroad_LQ_CR*'Regional data'!C7*NB_LQ_CR</f>
        <v>512480.76923076925</v>
      </c>
      <c r="F101" s="142">
        <f>Dist_Uroad_MQ_CR*'Regional data'!D7*NB_MQ_CR</f>
        <v>1904102.5641025642</v>
      </c>
      <c r="G101" s="192">
        <f>Dist_Uroad_SQ_CR*'Regional data'!E7*NB_SQ_CR</f>
        <v>1525692.307692308</v>
      </c>
      <c r="H101" s="142">
        <f>Dist_Proad_LQ_CR*'Regional data'!C7*NB_LQ_CR</f>
        <v>170826.92307692309</v>
      </c>
      <c r="I101" s="142">
        <f>Dist_Proad_MQ_CR*'Regional data'!D7*NB_MQ_CR</f>
        <v>0</v>
      </c>
      <c r="J101" s="134">
        <f>Dist_Proad_SQ_CR*'Regional data'!E7*NB_SQ_CR</f>
        <v>0</v>
      </c>
      <c r="K101" s="141">
        <f>Dist_Uroad_LQ_SG*'Regional data'!I7*NB_LQ_SG</f>
        <v>0</v>
      </c>
      <c r="L101" s="142">
        <f>Dist_Uroad_MQ_SG*'Regional data'!J7*NB_MQ_SG</f>
        <v>497384.8987108657</v>
      </c>
      <c r="M101" s="142">
        <f>Dist_Uroad_SQ_SG*'Regional data'!K7*NB_SQ_SG</f>
        <v>422320.44198895036</v>
      </c>
      <c r="N101" s="191">
        <f>Dist_Proad_LQ_SG*'Regional data'!I7*NB_LQ_SG</f>
        <v>0</v>
      </c>
      <c r="O101" s="142">
        <f>Dist_Proad_MQ_SG*'Regional data'!J7*NB_MQ_SG</f>
        <v>0</v>
      </c>
      <c r="P101" s="134">
        <f>Dist_Proad_SQ_SG*'Regional data'!K7*NB_SQ_SG</f>
        <v>0</v>
      </c>
    </row>
    <row r="102" spans="2:16" x14ac:dyDescent="0.25">
      <c r="B102" s="69" t="str">
        <f>IF('Regional data'!B8="","-",'Regional data'!B8)</f>
        <v>-</v>
      </c>
      <c r="C102" s="247">
        <f>1-'Regional data'!V8/365</f>
        <v>1</v>
      </c>
      <c r="D102" s="247">
        <f>1-'Regional data'!V8/(4*365)</f>
        <v>1</v>
      </c>
      <c r="E102" s="141">
        <f>Dist_Uroad_LQ_CR*'Regional data'!C8*NB_LQ_CR</f>
        <v>0</v>
      </c>
      <c r="F102" s="142">
        <f>Dist_Uroad_MQ_CR*'Regional data'!D8*NB_MQ_CR</f>
        <v>0</v>
      </c>
      <c r="G102" s="192">
        <f>Dist_Uroad_SQ_CR*'Regional data'!E8*NB_SQ_CR</f>
        <v>0</v>
      </c>
      <c r="H102" s="142">
        <f>Dist_Proad_LQ_CR*'Regional data'!C8*NB_LQ_CR</f>
        <v>0</v>
      </c>
      <c r="I102" s="142">
        <f>Dist_Proad_MQ_CR*'Regional data'!D8*NB_MQ_CR</f>
        <v>0</v>
      </c>
      <c r="J102" s="134">
        <f>Dist_Proad_SQ_CR*'Regional data'!E8*NB_SQ_CR</f>
        <v>0</v>
      </c>
      <c r="K102" s="141">
        <f>Dist_Uroad_LQ_SG*'Regional data'!I8*NB_LQ_SG</f>
        <v>0</v>
      </c>
      <c r="L102" s="142">
        <f>Dist_Uroad_MQ_SG*'Regional data'!J8*NB_MQ_SG</f>
        <v>0</v>
      </c>
      <c r="M102" s="142">
        <f>Dist_Uroad_SQ_SG*'Regional data'!K8*NB_SQ_SG</f>
        <v>0</v>
      </c>
      <c r="N102" s="191">
        <f>Dist_Proad_LQ_SG*'Regional data'!I8*NB_LQ_SG</f>
        <v>0</v>
      </c>
      <c r="O102" s="142">
        <f>Dist_Proad_MQ_SG*'Regional data'!J8*NB_MQ_SG</f>
        <v>0</v>
      </c>
      <c r="P102" s="134">
        <f>Dist_Proad_SQ_SG*'Regional data'!K8*NB_SQ_SG</f>
        <v>0</v>
      </c>
    </row>
    <row r="103" spans="2:16" x14ac:dyDescent="0.25">
      <c r="B103" s="69" t="str">
        <f>IF('Regional data'!B9="","-",'Regional data'!B9)</f>
        <v>-</v>
      </c>
      <c r="C103" s="247">
        <f>1-'Regional data'!V9/365</f>
        <v>1</v>
      </c>
      <c r="D103" s="247">
        <f>1-'Regional data'!V9/(4*365)</f>
        <v>1</v>
      </c>
      <c r="E103" s="141">
        <f>Dist_Uroad_LQ_CR*'Regional data'!C9*NB_LQ_CR</f>
        <v>0</v>
      </c>
      <c r="F103" s="142">
        <f>Dist_Uroad_MQ_CR*'Regional data'!D9*NB_MQ_CR</f>
        <v>0</v>
      </c>
      <c r="G103" s="192">
        <f>Dist_Uroad_SQ_CR*'Regional data'!E9*NB_SQ_CR</f>
        <v>0</v>
      </c>
      <c r="H103" s="142">
        <f>Dist_Proad_LQ_CR*'Regional data'!C9*NB_LQ_CR</f>
        <v>0</v>
      </c>
      <c r="I103" s="142">
        <f>Dist_Proad_MQ_CR*'Regional data'!D9*NB_MQ_CR</f>
        <v>0</v>
      </c>
      <c r="J103" s="134">
        <f>Dist_Proad_SQ_CR*'Regional data'!E9*NB_SQ_CR</f>
        <v>0</v>
      </c>
      <c r="K103" s="141">
        <f>Dist_Uroad_LQ_SG*'Regional data'!I9*NB_LQ_SG</f>
        <v>0</v>
      </c>
      <c r="L103" s="142">
        <f>Dist_Uroad_MQ_SG*'Regional data'!J9*NB_MQ_SG</f>
        <v>0</v>
      </c>
      <c r="M103" s="142">
        <f>Dist_Uroad_SQ_SG*'Regional data'!K9*NB_SQ_SG</f>
        <v>0</v>
      </c>
      <c r="N103" s="191">
        <f>Dist_Proad_LQ_SG*'Regional data'!I9*NB_LQ_SG</f>
        <v>0</v>
      </c>
      <c r="O103" s="142">
        <f>Dist_Proad_MQ_SG*'Regional data'!J9*NB_MQ_SG</f>
        <v>0</v>
      </c>
      <c r="P103" s="134">
        <f>Dist_Proad_SQ_SG*'Regional data'!K9*NB_SQ_SG</f>
        <v>0</v>
      </c>
    </row>
    <row r="104" spans="2:16" x14ac:dyDescent="0.25">
      <c r="B104" s="69" t="str">
        <f>IF('Regional data'!B10="","-",'Regional data'!B10)</f>
        <v>-</v>
      </c>
      <c r="C104" s="247">
        <f>1-'Regional data'!V10/365</f>
        <v>1</v>
      </c>
      <c r="D104" s="247">
        <f>1-'Regional data'!V10/(4*365)</f>
        <v>1</v>
      </c>
      <c r="E104" s="141">
        <f>Dist_Uroad_LQ_CR*'Regional data'!C10*NB_LQ_CR</f>
        <v>0</v>
      </c>
      <c r="F104" s="142">
        <f>Dist_Uroad_MQ_CR*'Regional data'!D10*NB_MQ_CR</f>
        <v>0</v>
      </c>
      <c r="G104" s="192">
        <f>Dist_Uroad_SQ_CR*'Regional data'!E10*NB_SQ_CR</f>
        <v>0</v>
      </c>
      <c r="H104" s="142">
        <f>Dist_Proad_LQ_CR*'Regional data'!C10*NB_LQ_CR</f>
        <v>0</v>
      </c>
      <c r="I104" s="142">
        <f>Dist_Proad_MQ_CR*'Regional data'!D10*NB_MQ_CR</f>
        <v>0</v>
      </c>
      <c r="J104" s="134">
        <f>Dist_Proad_SQ_CR*'Regional data'!E10*NB_SQ_CR</f>
        <v>0</v>
      </c>
      <c r="K104" s="141">
        <f>Dist_Uroad_LQ_SG*'Regional data'!I10*NB_LQ_SG</f>
        <v>0</v>
      </c>
      <c r="L104" s="142">
        <f>Dist_Uroad_MQ_SG*'Regional data'!J10*NB_MQ_SG</f>
        <v>0</v>
      </c>
      <c r="M104" s="142">
        <f>Dist_Uroad_SQ_SG*'Regional data'!K10*NB_SQ_SG</f>
        <v>0</v>
      </c>
      <c r="N104" s="191">
        <f>Dist_Proad_LQ_SG*'Regional data'!I10*NB_LQ_SG</f>
        <v>0</v>
      </c>
      <c r="O104" s="142">
        <f>Dist_Proad_MQ_SG*'Regional data'!J10*NB_MQ_SG</f>
        <v>0</v>
      </c>
      <c r="P104" s="134">
        <f>Dist_Proad_SQ_SG*'Regional data'!K10*NB_SQ_SG</f>
        <v>0</v>
      </c>
    </row>
    <row r="105" spans="2:16" x14ac:dyDescent="0.25">
      <c r="B105" s="69" t="str">
        <f>IF('Regional data'!B11="","-",'Regional data'!B11)</f>
        <v>-</v>
      </c>
      <c r="C105" s="247">
        <f>1-'Regional data'!V11/365</f>
        <v>1</v>
      </c>
      <c r="D105" s="247">
        <f>1-'Regional data'!V11/(4*365)</f>
        <v>1</v>
      </c>
      <c r="E105" s="141">
        <f>Dist_Uroad_LQ_CR*'Regional data'!C11*NB_LQ_CR</f>
        <v>0</v>
      </c>
      <c r="F105" s="142">
        <f>Dist_Uroad_MQ_CR*'Regional data'!D11*NB_MQ_CR</f>
        <v>0</v>
      </c>
      <c r="G105" s="192">
        <f>Dist_Uroad_SQ_CR*'Regional data'!E11*NB_SQ_CR</f>
        <v>0</v>
      </c>
      <c r="H105" s="142">
        <f>Dist_Proad_LQ_CR*'Regional data'!C11*NB_LQ_CR</f>
        <v>0</v>
      </c>
      <c r="I105" s="142">
        <f>Dist_Proad_MQ_CR*'Regional data'!D11*NB_MQ_CR</f>
        <v>0</v>
      </c>
      <c r="J105" s="134">
        <f>Dist_Proad_SQ_CR*'Regional data'!E11*NB_SQ_CR</f>
        <v>0</v>
      </c>
      <c r="K105" s="141">
        <f>Dist_Uroad_LQ_SG*'Regional data'!I11*NB_LQ_SG</f>
        <v>0</v>
      </c>
      <c r="L105" s="142">
        <f>Dist_Uroad_MQ_SG*'Regional data'!J11*NB_MQ_SG</f>
        <v>0</v>
      </c>
      <c r="M105" s="142">
        <f>Dist_Uroad_SQ_SG*'Regional data'!K11*NB_SQ_SG</f>
        <v>0</v>
      </c>
      <c r="N105" s="191">
        <f>Dist_Proad_LQ_SG*'Regional data'!I11*NB_LQ_SG</f>
        <v>0</v>
      </c>
      <c r="O105" s="142">
        <f>Dist_Proad_MQ_SG*'Regional data'!J11*NB_MQ_SG</f>
        <v>0</v>
      </c>
      <c r="P105" s="134">
        <f>Dist_Proad_SQ_SG*'Regional data'!K11*NB_SQ_SG</f>
        <v>0</v>
      </c>
    </row>
    <row r="106" spans="2:16" x14ac:dyDescent="0.25">
      <c r="B106" s="69" t="str">
        <f>IF('Regional data'!B12="","-",'Regional data'!B12)</f>
        <v>-</v>
      </c>
      <c r="C106" s="247">
        <f>1-'Regional data'!V12/365</f>
        <v>1</v>
      </c>
      <c r="D106" s="247">
        <f>1-'Regional data'!V12/(4*365)</f>
        <v>1</v>
      </c>
      <c r="E106" s="141">
        <f>Dist_Uroad_LQ_CR*'Regional data'!C12*NB_LQ_CR</f>
        <v>0</v>
      </c>
      <c r="F106" s="142">
        <f>Dist_Uroad_MQ_CR*'Regional data'!D12*NB_MQ_CR</f>
        <v>0</v>
      </c>
      <c r="G106" s="192">
        <f>Dist_Uroad_SQ_CR*'Regional data'!E12*NB_SQ_CR</f>
        <v>0</v>
      </c>
      <c r="H106" s="142">
        <f>Dist_Proad_LQ_CR*'Regional data'!C12*NB_LQ_CR</f>
        <v>0</v>
      </c>
      <c r="I106" s="142">
        <f>Dist_Proad_MQ_CR*'Regional data'!D12*NB_MQ_CR</f>
        <v>0</v>
      </c>
      <c r="J106" s="134">
        <f>Dist_Proad_SQ_CR*'Regional data'!E12*NB_SQ_CR</f>
        <v>0</v>
      </c>
      <c r="K106" s="141">
        <f>Dist_Uroad_LQ_SG*'Regional data'!I12*NB_LQ_SG</f>
        <v>0</v>
      </c>
      <c r="L106" s="142">
        <f>Dist_Uroad_MQ_SG*'Regional data'!J12*NB_MQ_SG</f>
        <v>0</v>
      </c>
      <c r="M106" s="142">
        <f>Dist_Uroad_SQ_SG*'Regional data'!K12*NB_SQ_SG</f>
        <v>0</v>
      </c>
      <c r="N106" s="191">
        <f>Dist_Proad_LQ_SG*'Regional data'!I12*NB_LQ_SG</f>
        <v>0</v>
      </c>
      <c r="O106" s="142">
        <f>Dist_Proad_MQ_SG*'Regional data'!J12*NB_MQ_SG</f>
        <v>0</v>
      </c>
      <c r="P106" s="134">
        <f>Dist_Proad_SQ_SG*'Regional data'!K12*NB_SQ_SG</f>
        <v>0</v>
      </c>
    </row>
    <row r="107" spans="2:16" x14ac:dyDescent="0.25">
      <c r="B107" s="69" t="str">
        <f>IF('Regional data'!B13="","-",'Regional data'!B13)</f>
        <v>-</v>
      </c>
      <c r="C107" s="247">
        <f>1-'Regional data'!V13/365</f>
        <v>1</v>
      </c>
      <c r="D107" s="247">
        <f>1-'Regional data'!V13/(4*365)</f>
        <v>1</v>
      </c>
      <c r="E107" s="141">
        <f>Dist_Uroad_LQ_CR*'Regional data'!C13*NB_LQ_CR</f>
        <v>0</v>
      </c>
      <c r="F107" s="142">
        <f>Dist_Uroad_MQ_CR*'Regional data'!D13*NB_MQ_CR</f>
        <v>0</v>
      </c>
      <c r="G107" s="192">
        <f>Dist_Uroad_SQ_CR*'Regional data'!E13*NB_SQ_CR</f>
        <v>0</v>
      </c>
      <c r="H107" s="142">
        <f>Dist_Proad_LQ_CR*'Regional data'!C13*NB_LQ_CR</f>
        <v>0</v>
      </c>
      <c r="I107" s="142">
        <f>Dist_Proad_MQ_CR*'Regional data'!D13*NB_MQ_CR</f>
        <v>0</v>
      </c>
      <c r="J107" s="134">
        <f>Dist_Proad_SQ_CR*'Regional data'!E13*NB_SQ_CR</f>
        <v>0</v>
      </c>
      <c r="K107" s="141">
        <f>Dist_Uroad_LQ_SG*'Regional data'!I13*NB_LQ_SG</f>
        <v>0</v>
      </c>
      <c r="L107" s="142">
        <f>Dist_Uroad_MQ_SG*'Regional data'!J13*NB_MQ_SG</f>
        <v>0</v>
      </c>
      <c r="M107" s="142">
        <f>Dist_Uroad_SQ_SG*'Regional data'!K13*NB_SQ_SG</f>
        <v>0</v>
      </c>
      <c r="N107" s="191">
        <f>Dist_Proad_LQ_SG*'Regional data'!I13*NB_LQ_SG</f>
        <v>0</v>
      </c>
      <c r="O107" s="142">
        <f>Dist_Proad_MQ_SG*'Regional data'!J13*NB_MQ_SG</f>
        <v>0</v>
      </c>
      <c r="P107" s="134">
        <f>Dist_Proad_SQ_SG*'Regional data'!K13*NB_SQ_SG</f>
        <v>0</v>
      </c>
    </row>
    <row r="108" spans="2:16" x14ac:dyDescent="0.25">
      <c r="B108" s="69" t="str">
        <f>IF('Regional data'!B14="","-",'Regional data'!B14)</f>
        <v>-</v>
      </c>
      <c r="C108" s="247">
        <f>1-'Regional data'!V14/365</f>
        <v>1</v>
      </c>
      <c r="D108" s="247">
        <f>1-'Regional data'!V14/(4*365)</f>
        <v>1</v>
      </c>
      <c r="E108" s="141">
        <f>Dist_Uroad_LQ_CR*'Regional data'!C14*NB_LQ_CR</f>
        <v>0</v>
      </c>
      <c r="F108" s="142">
        <f>Dist_Uroad_MQ_CR*'Regional data'!D14*NB_MQ_CR</f>
        <v>0</v>
      </c>
      <c r="G108" s="192">
        <f>Dist_Uroad_SQ_CR*'Regional data'!E14*NB_SQ_CR</f>
        <v>0</v>
      </c>
      <c r="H108" s="142">
        <f>Dist_Proad_LQ_CR*'Regional data'!C14*NB_LQ_CR</f>
        <v>0</v>
      </c>
      <c r="I108" s="142">
        <f>Dist_Proad_MQ_CR*'Regional data'!D14*NB_MQ_CR</f>
        <v>0</v>
      </c>
      <c r="J108" s="134">
        <f>Dist_Proad_SQ_CR*'Regional data'!E14*NB_SQ_CR</f>
        <v>0</v>
      </c>
      <c r="K108" s="141">
        <f>Dist_Uroad_LQ_SG*'Regional data'!I14*NB_LQ_SG</f>
        <v>0</v>
      </c>
      <c r="L108" s="142">
        <f>Dist_Uroad_MQ_SG*'Regional data'!J14*NB_MQ_SG</f>
        <v>0</v>
      </c>
      <c r="M108" s="142">
        <f>Dist_Uroad_SQ_SG*'Regional data'!K14*NB_SQ_SG</f>
        <v>0</v>
      </c>
      <c r="N108" s="191">
        <f>Dist_Proad_LQ_SG*'Regional data'!I14*NB_LQ_SG</f>
        <v>0</v>
      </c>
      <c r="O108" s="142">
        <f>Dist_Proad_MQ_SG*'Regional data'!J14*NB_MQ_SG</f>
        <v>0</v>
      </c>
      <c r="P108" s="134">
        <f>Dist_Proad_SQ_SG*'Regional data'!K14*NB_SQ_SG</f>
        <v>0</v>
      </c>
    </row>
    <row r="109" spans="2:16" x14ac:dyDescent="0.25">
      <c r="B109" s="69" t="str">
        <f>IF('Regional data'!B15="","-",'Regional data'!B15)</f>
        <v>-</v>
      </c>
      <c r="C109" s="247">
        <f>1-'Regional data'!V15/365</f>
        <v>1</v>
      </c>
      <c r="D109" s="247">
        <f>1-'Regional data'!V15/(4*365)</f>
        <v>1</v>
      </c>
      <c r="E109" s="141">
        <f>Dist_Uroad_LQ_CR*'Regional data'!C15*NB_LQ_CR</f>
        <v>0</v>
      </c>
      <c r="F109" s="142">
        <f>Dist_Uroad_MQ_CR*'Regional data'!D15*NB_MQ_CR</f>
        <v>0</v>
      </c>
      <c r="G109" s="192">
        <f>Dist_Uroad_SQ_CR*'Regional data'!E15*NB_SQ_CR</f>
        <v>0</v>
      </c>
      <c r="H109" s="142">
        <f>Dist_Proad_LQ_CR*'Regional data'!C15*NB_LQ_CR</f>
        <v>0</v>
      </c>
      <c r="I109" s="142">
        <f>Dist_Proad_MQ_CR*'Regional data'!D15*NB_MQ_CR</f>
        <v>0</v>
      </c>
      <c r="J109" s="134">
        <f>Dist_Proad_SQ_CR*'Regional data'!E15*NB_SQ_CR</f>
        <v>0</v>
      </c>
      <c r="K109" s="141">
        <f>Dist_Uroad_LQ_SG*'Regional data'!I15*NB_LQ_SG</f>
        <v>0</v>
      </c>
      <c r="L109" s="142">
        <f>Dist_Uroad_MQ_SG*'Regional data'!J15*NB_MQ_SG</f>
        <v>0</v>
      </c>
      <c r="M109" s="142">
        <f>Dist_Uroad_SQ_SG*'Regional data'!K15*NB_SQ_SG</f>
        <v>0</v>
      </c>
      <c r="N109" s="191">
        <f>Dist_Proad_LQ_SG*'Regional data'!I15*NB_LQ_SG</f>
        <v>0</v>
      </c>
      <c r="O109" s="142">
        <f>Dist_Proad_MQ_SG*'Regional data'!J15*NB_MQ_SG</f>
        <v>0</v>
      </c>
      <c r="P109" s="134">
        <f>Dist_Proad_SQ_SG*'Regional data'!K15*NB_SQ_SG</f>
        <v>0</v>
      </c>
    </row>
    <row r="110" spans="2:16" x14ac:dyDescent="0.25">
      <c r="B110" s="69" t="str">
        <f>IF('Regional data'!B16="","-",'Regional data'!B16)</f>
        <v>-</v>
      </c>
      <c r="C110" s="247">
        <f>1-'Regional data'!V16/365</f>
        <v>1</v>
      </c>
      <c r="D110" s="247">
        <f>1-'Regional data'!V16/(4*365)</f>
        <v>1</v>
      </c>
      <c r="E110" s="141">
        <f>Dist_Uroad_LQ_CR*'Regional data'!C16*NB_LQ_CR</f>
        <v>0</v>
      </c>
      <c r="F110" s="142">
        <f>Dist_Uroad_MQ_CR*'Regional data'!D16*NB_MQ_CR</f>
        <v>0</v>
      </c>
      <c r="G110" s="192">
        <f>Dist_Uroad_SQ_CR*'Regional data'!E16*NB_SQ_CR</f>
        <v>0</v>
      </c>
      <c r="H110" s="142">
        <f>Dist_Proad_LQ_CR*'Regional data'!C16*NB_LQ_CR</f>
        <v>0</v>
      </c>
      <c r="I110" s="142">
        <f>Dist_Proad_MQ_CR*'Regional data'!D16*NB_MQ_CR</f>
        <v>0</v>
      </c>
      <c r="J110" s="134">
        <f>Dist_Proad_SQ_CR*'Regional data'!E16*NB_SQ_CR</f>
        <v>0</v>
      </c>
      <c r="K110" s="141">
        <f>Dist_Uroad_LQ_SG*'Regional data'!I16*NB_LQ_SG</f>
        <v>0</v>
      </c>
      <c r="L110" s="142">
        <f>Dist_Uroad_MQ_SG*'Regional data'!J16*NB_MQ_SG</f>
        <v>0</v>
      </c>
      <c r="M110" s="142">
        <f>Dist_Uroad_SQ_SG*'Regional data'!K16*NB_SQ_SG</f>
        <v>0</v>
      </c>
      <c r="N110" s="191">
        <f>Dist_Proad_LQ_SG*'Regional data'!I16*NB_LQ_SG</f>
        <v>0</v>
      </c>
      <c r="O110" s="142">
        <f>Dist_Proad_MQ_SG*'Regional data'!J16*NB_MQ_SG</f>
        <v>0</v>
      </c>
      <c r="P110" s="134">
        <f>Dist_Proad_SQ_SG*'Regional data'!K16*NB_SQ_SG</f>
        <v>0</v>
      </c>
    </row>
    <row r="111" spans="2:16" x14ac:dyDescent="0.25">
      <c r="B111" s="69" t="str">
        <f>IF('Regional data'!B17="","-",'Regional data'!B17)</f>
        <v>-</v>
      </c>
      <c r="C111" s="247">
        <f>1-'Regional data'!V17/365</f>
        <v>1</v>
      </c>
      <c r="D111" s="247">
        <f>1-'Regional data'!V17/(4*365)</f>
        <v>1</v>
      </c>
      <c r="E111" s="141">
        <f>Dist_Uroad_LQ_CR*'Regional data'!C17*NB_LQ_CR</f>
        <v>0</v>
      </c>
      <c r="F111" s="142">
        <f>Dist_Uroad_MQ_CR*'Regional data'!D17*NB_MQ_CR</f>
        <v>0</v>
      </c>
      <c r="G111" s="192">
        <f>Dist_Uroad_SQ_CR*'Regional data'!E17*NB_SQ_CR</f>
        <v>0</v>
      </c>
      <c r="H111" s="142">
        <f>Dist_Proad_LQ_CR*'Regional data'!C17*NB_LQ_CR</f>
        <v>0</v>
      </c>
      <c r="I111" s="142">
        <f>Dist_Proad_MQ_CR*'Regional data'!D17*NB_MQ_CR</f>
        <v>0</v>
      </c>
      <c r="J111" s="134">
        <f>Dist_Proad_SQ_CR*'Regional data'!E17*NB_SQ_CR</f>
        <v>0</v>
      </c>
      <c r="K111" s="141">
        <f>Dist_Uroad_LQ_SG*'Regional data'!I17*NB_LQ_SG</f>
        <v>0</v>
      </c>
      <c r="L111" s="142">
        <f>Dist_Uroad_MQ_SG*'Regional data'!J17*NB_MQ_SG</f>
        <v>0</v>
      </c>
      <c r="M111" s="142">
        <f>Dist_Uroad_SQ_SG*'Regional data'!K17*NB_SQ_SG</f>
        <v>0</v>
      </c>
      <c r="N111" s="191">
        <f>Dist_Proad_LQ_SG*'Regional data'!I17*NB_LQ_SG</f>
        <v>0</v>
      </c>
      <c r="O111" s="142">
        <f>Dist_Proad_MQ_SG*'Regional data'!J17*NB_MQ_SG</f>
        <v>0</v>
      </c>
      <c r="P111" s="134">
        <f>Dist_Proad_SQ_SG*'Regional data'!K17*NB_SQ_SG</f>
        <v>0</v>
      </c>
    </row>
    <row r="112" spans="2:16" x14ac:dyDescent="0.25">
      <c r="B112" s="69" t="str">
        <f>IF('Regional data'!B18="","-",'Regional data'!B18)</f>
        <v>-</v>
      </c>
      <c r="C112" s="247">
        <f>1-'Regional data'!V18/365</f>
        <v>1</v>
      </c>
      <c r="D112" s="247">
        <f>1-'Regional data'!V18/(4*365)</f>
        <v>1</v>
      </c>
      <c r="E112" s="141">
        <f>Dist_Uroad_LQ_CR*'Regional data'!C18*NB_LQ_CR</f>
        <v>0</v>
      </c>
      <c r="F112" s="142">
        <f>Dist_Uroad_MQ_CR*'Regional data'!D18*NB_MQ_CR</f>
        <v>0</v>
      </c>
      <c r="G112" s="192">
        <f>Dist_Uroad_SQ_CR*'Regional data'!E18*NB_SQ_CR</f>
        <v>0</v>
      </c>
      <c r="H112" s="142">
        <f>Dist_Proad_LQ_CR*'Regional data'!C18*NB_LQ_CR</f>
        <v>0</v>
      </c>
      <c r="I112" s="142">
        <f>Dist_Proad_MQ_CR*'Regional data'!D18*NB_MQ_CR</f>
        <v>0</v>
      </c>
      <c r="J112" s="134">
        <f>Dist_Proad_SQ_CR*'Regional data'!E18*NB_SQ_CR</f>
        <v>0</v>
      </c>
      <c r="K112" s="141">
        <f>Dist_Uroad_LQ_SG*'Regional data'!I18*NB_LQ_SG</f>
        <v>0</v>
      </c>
      <c r="L112" s="142">
        <f>Dist_Uroad_MQ_SG*'Regional data'!J18*NB_MQ_SG</f>
        <v>0</v>
      </c>
      <c r="M112" s="142">
        <f>Dist_Uroad_SQ_SG*'Regional data'!K18*NB_SQ_SG</f>
        <v>0</v>
      </c>
      <c r="N112" s="191">
        <f>Dist_Proad_LQ_SG*'Regional data'!I18*NB_LQ_SG</f>
        <v>0</v>
      </c>
      <c r="O112" s="142">
        <f>Dist_Proad_MQ_SG*'Regional data'!J18*NB_MQ_SG</f>
        <v>0</v>
      </c>
      <c r="P112" s="134">
        <f>Dist_Proad_SQ_SG*'Regional data'!K18*NB_SQ_SG</f>
        <v>0</v>
      </c>
    </row>
    <row r="113" spans="2:16" x14ac:dyDescent="0.25">
      <c r="B113" s="69" t="str">
        <f>IF('Regional data'!B19="","-",'Regional data'!B19)</f>
        <v>-</v>
      </c>
      <c r="C113" s="247">
        <f>1-'Regional data'!V19/365</f>
        <v>1</v>
      </c>
      <c r="D113" s="247">
        <f>1-'Regional data'!V19/(4*365)</f>
        <v>1</v>
      </c>
      <c r="E113" s="141">
        <f>Dist_Uroad_LQ_CR*'Regional data'!C19*NB_LQ_CR</f>
        <v>0</v>
      </c>
      <c r="F113" s="142">
        <f>Dist_Uroad_MQ_CR*'Regional data'!D19*NB_MQ_CR</f>
        <v>0</v>
      </c>
      <c r="G113" s="192">
        <f>Dist_Uroad_SQ_CR*'Regional data'!E19*NB_SQ_CR</f>
        <v>0</v>
      </c>
      <c r="H113" s="142">
        <f>Dist_Proad_LQ_CR*'Regional data'!C19*NB_LQ_CR</f>
        <v>0</v>
      </c>
      <c r="I113" s="142">
        <f>Dist_Proad_MQ_CR*'Regional data'!D19*NB_MQ_CR</f>
        <v>0</v>
      </c>
      <c r="J113" s="134">
        <f>Dist_Proad_SQ_CR*'Regional data'!E19*NB_SQ_CR</f>
        <v>0</v>
      </c>
      <c r="K113" s="141">
        <f>Dist_Uroad_LQ_SG*'Regional data'!I19*NB_LQ_SG</f>
        <v>0</v>
      </c>
      <c r="L113" s="142">
        <f>Dist_Uroad_MQ_SG*'Regional data'!J19*NB_MQ_SG</f>
        <v>0</v>
      </c>
      <c r="M113" s="142">
        <f>Dist_Uroad_SQ_SG*'Regional data'!K19*NB_SQ_SG</f>
        <v>0</v>
      </c>
      <c r="N113" s="191">
        <f>Dist_Proad_LQ_SG*'Regional data'!I19*NB_LQ_SG</f>
        <v>0</v>
      </c>
      <c r="O113" s="142">
        <f>Dist_Proad_MQ_SG*'Regional data'!J19*NB_MQ_SG</f>
        <v>0</v>
      </c>
      <c r="P113" s="134">
        <f>Dist_Proad_SQ_SG*'Regional data'!K19*NB_SQ_SG</f>
        <v>0</v>
      </c>
    </row>
    <row r="114" spans="2:16" x14ac:dyDescent="0.25">
      <c r="B114" s="69" t="str">
        <f>IF('Regional data'!B20="","-",'Regional data'!B20)</f>
        <v>-</v>
      </c>
      <c r="C114" s="247">
        <f>1-'Regional data'!V20/365</f>
        <v>1</v>
      </c>
      <c r="D114" s="247">
        <f>1-'Regional data'!V20/(4*365)</f>
        <v>1</v>
      </c>
      <c r="E114" s="141">
        <f>Dist_Uroad_LQ_CR*'Regional data'!C20*NB_LQ_CR</f>
        <v>0</v>
      </c>
      <c r="F114" s="142">
        <f>Dist_Uroad_MQ_CR*'Regional data'!D20*NB_MQ_CR</f>
        <v>0</v>
      </c>
      <c r="G114" s="192">
        <f>Dist_Uroad_SQ_CR*'Regional data'!E20*NB_SQ_CR</f>
        <v>0</v>
      </c>
      <c r="H114" s="142">
        <f>Dist_Proad_LQ_CR*'Regional data'!C20*NB_LQ_CR</f>
        <v>0</v>
      </c>
      <c r="I114" s="142">
        <f>Dist_Proad_MQ_CR*'Regional data'!D20*NB_MQ_CR</f>
        <v>0</v>
      </c>
      <c r="J114" s="134">
        <f>Dist_Proad_SQ_CR*'Regional data'!E20*NB_SQ_CR</f>
        <v>0</v>
      </c>
      <c r="K114" s="141">
        <f>Dist_Uroad_LQ_SG*'Regional data'!I20*NB_LQ_SG</f>
        <v>0</v>
      </c>
      <c r="L114" s="142">
        <f>Dist_Uroad_MQ_SG*'Regional data'!J20*NB_MQ_SG</f>
        <v>0</v>
      </c>
      <c r="M114" s="142">
        <f>Dist_Uroad_SQ_SG*'Regional data'!K20*NB_SQ_SG</f>
        <v>0</v>
      </c>
      <c r="N114" s="191">
        <f>Dist_Proad_LQ_SG*'Regional data'!I20*NB_LQ_SG</f>
        <v>0</v>
      </c>
      <c r="O114" s="142">
        <f>Dist_Proad_MQ_SG*'Regional data'!J20*NB_MQ_SG</f>
        <v>0</v>
      </c>
      <c r="P114" s="134">
        <f>Dist_Proad_SQ_SG*'Regional data'!K20*NB_SQ_SG</f>
        <v>0</v>
      </c>
    </row>
    <row r="115" spans="2:16" x14ac:dyDescent="0.25">
      <c r="B115" s="69" t="str">
        <f>IF('Regional data'!B21="","-",'Regional data'!B21)</f>
        <v>-</v>
      </c>
      <c r="C115" s="247">
        <f>1-'Regional data'!V21/365</f>
        <v>1</v>
      </c>
      <c r="D115" s="247">
        <f>1-'Regional data'!V21/(4*365)</f>
        <v>1</v>
      </c>
      <c r="E115" s="141">
        <f>Dist_Uroad_LQ_CR*'Regional data'!C21*NB_LQ_CR</f>
        <v>0</v>
      </c>
      <c r="F115" s="142">
        <f>Dist_Uroad_MQ_CR*'Regional data'!D21*NB_MQ_CR</f>
        <v>0</v>
      </c>
      <c r="G115" s="192">
        <f>Dist_Uroad_SQ_CR*'Regional data'!E21*NB_SQ_CR</f>
        <v>0</v>
      </c>
      <c r="H115" s="142">
        <f>Dist_Proad_LQ_CR*'Regional data'!C21*NB_LQ_CR</f>
        <v>0</v>
      </c>
      <c r="I115" s="142">
        <f>Dist_Proad_MQ_CR*'Regional data'!D21*NB_MQ_CR</f>
        <v>0</v>
      </c>
      <c r="J115" s="134">
        <f>Dist_Proad_SQ_CR*'Regional data'!E21*NB_SQ_CR</f>
        <v>0</v>
      </c>
      <c r="K115" s="141">
        <f>Dist_Uroad_LQ_SG*'Regional data'!I21*NB_LQ_SG</f>
        <v>0</v>
      </c>
      <c r="L115" s="142">
        <f>Dist_Uroad_MQ_SG*'Regional data'!J21*NB_MQ_SG</f>
        <v>0</v>
      </c>
      <c r="M115" s="142">
        <f>Dist_Uroad_SQ_SG*'Regional data'!K21*NB_SQ_SG</f>
        <v>0</v>
      </c>
      <c r="N115" s="191">
        <f>Dist_Proad_LQ_SG*'Regional data'!I21*NB_LQ_SG</f>
        <v>0</v>
      </c>
      <c r="O115" s="142">
        <f>Dist_Proad_MQ_SG*'Regional data'!J21*NB_MQ_SG</f>
        <v>0</v>
      </c>
      <c r="P115" s="134">
        <f>Dist_Proad_SQ_SG*'Regional data'!K21*NB_SQ_SG</f>
        <v>0</v>
      </c>
    </row>
    <row r="116" spans="2:16" x14ac:dyDescent="0.25">
      <c r="B116" s="69" t="str">
        <f>IF('Regional data'!B22="","-",'Regional data'!B22)</f>
        <v>-</v>
      </c>
      <c r="C116" s="247">
        <f>1-'Regional data'!V22/365</f>
        <v>1</v>
      </c>
      <c r="D116" s="247">
        <f>1-'Regional data'!V22/(4*365)</f>
        <v>1</v>
      </c>
      <c r="E116" s="141">
        <f>Dist_Uroad_LQ_CR*'Regional data'!C22*NB_LQ_CR</f>
        <v>0</v>
      </c>
      <c r="F116" s="142">
        <f>Dist_Uroad_MQ_CR*'Regional data'!D22*NB_MQ_CR</f>
        <v>0</v>
      </c>
      <c r="G116" s="192">
        <f>Dist_Uroad_SQ_CR*'Regional data'!E22*NB_SQ_CR</f>
        <v>0</v>
      </c>
      <c r="H116" s="142">
        <f>Dist_Proad_LQ_CR*'Regional data'!C22*NB_LQ_CR</f>
        <v>0</v>
      </c>
      <c r="I116" s="142">
        <f>Dist_Proad_MQ_CR*'Regional data'!D22*NB_MQ_CR</f>
        <v>0</v>
      </c>
      <c r="J116" s="134">
        <f>Dist_Proad_SQ_CR*'Regional data'!E22*NB_SQ_CR</f>
        <v>0</v>
      </c>
      <c r="K116" s="141">
        <f>Dist_Uroad_LQ_SG*'Regional data'!I22*NB_LQ_SG</f>
        <v>0</v>
      </c>
      <c r="L116" s="142">
        <f>Dist_Uroad_MQ_SG*'Regional data'!J22*NB_MQ_SG</f>
        <v>0</v>
      </c>
      <c r="M116" s="142">
        <f>Dist_Uroad_SQ_SG*'Regional data'!K22*NB_SQ_SG</f>
        <v>0</v>
      </c>
      <c r="N116" s="191">
        <f>Dist_Proad_LQ_SG*'Regional data'!I22*NB_LQ_SG</f>
        <v>0</v>
      </c>
      <c r="O116" s="142">
        <f>Dist_Proad_MQ_SG*'Regional data'!J22*NB_MQ_SG</f>
        <v>0</v>
      </c>
      <c r="P116" s="134">
        <f>Dist_Proad_SQ_SG*'Regional data'!K22*NB_SQ_SG</f>
        <v>0</v>
      </c>
    </row>
    <row r="117" spans="2:16" x14ac:dyDescent="0.25">
      <c r="B117" s="69" t="str">
        <f>IF('Regional data'!B23="","-",'Regional data'!B23)</f>
        <v>-</v>
      </c>
      <c r="C117" s="247">
        <f>1-'Regional data'!V23/365</f>
        <v>1</v>
      </c>
      <c r="D117" s="247">
        <f>1-'Regional data'!V23/(4*365)</f>
        <v>1</v>
      </c>
      <c r="E117" s="141">
        <f>Dist_Uroad_LQ_CR*'Regional data'!C23*NB_LQ_CR</f>
        <v>0</v>
      </c>
      <c r="F117" s="142">
        <f>Dist_Uroad_MQ_CR*'Regional data'!D23*NB_MQ_CR</f>
        <v>0</v>
      </c>
      <c r="G117" s="192">
        <f>Dist_Uroad_SQ_CR*'Regional data'!E23*NB_SQ_CR</f>
        <v>0</v>
      </c>
      <c r="H117" s="142">
        <f>Dist_Proad_LQ_CR*'Regional data'!C23*NB_LQ_CR</f>
        <v>0</v>
      </c>
      <c r="I117" s="142">
        <f>Dist_Proad_MQ_CR*'Regional data'!D23*NB_MQ_CR</f>
        <v>0</v>
      </c>
      <c r="J117" s="134">
        <f>Dist_Proad_SQ_CR*'Regional data'!E23*NB_SQ_CR</f>
        <v>0</v>
      </c>
      <c r="K117" s="141">
        <f>Dist_Uroad_LQ_SG*'Regional data'!I23*NB_LQ_SG</f>
        <v>0</v>
      </c>
      <c r="L117" s="142">
        <f>Dist_Uroad_MQ_SG*'Regional data'!J23*NB_MQ_SG</f>
        <v>0</v>
      </c>
      <c r="M117" s="142">
        <f>Dist_Uroad_SQ_SG*'Regional data'!K23*NB_SQ_SG</f>
        <v>0</v>
      </c>
      <c r="N117" s="191">
        <f>Dist_Proad_LQ_SG*'Regional data'!I23*NB_LQ_SG</f>
        <v>0</v>
      </c>
      <c r="O117" s="142">
        <f>Dist_Proad_MQ_SG*'Regional data'!J23*NB_MQ_SG</f>
        <v>0</v>
      </c>
      <c r="P117" s="134">
        <f>Dist_Proad_SQ_SG*'Regional data'!K23*NB_SQ_SG</f>
        <v>0</v>
      </c>
    </row>
    <row r="118" spans="2:16" x14ac:dyDescent="0.25">
      <c r="B118" s="69" t="str">
        <f>IF('Regional data'!B24="","-",'Regional data'!B24)</f>
        <v>-</v>
      </c>
      <c r="C118" s="247">
        <f>1-'Regional data'!V24/365</f>
        <v>1</v>
      </c>
      <c r="D118" s="247">
        <f>1-'Regional data'!V24/(4*365)</f>
        <v>1</v>
      </c>
      <c r="E118" s="141">
        <f>Dist_Uroad_LQ_CR*'Regional data'!C24*NB_LQ_CR</f>
        <v>0</v>
      </c>
      <c r="F118" s="142">
        <f>Dist_Uroad_MQ_CR*'Regional data'!D24*NB_MQ_CR</f>
        <v>0</v>
      </c>
      <c r="G118" s="192">
        <f>Dist_Uroad_SQ_CR*'Regional data'!E24*NB_SQ_CR</f>
        <v>0</v>
      </c>
      <c r="H118" s="142">
        <f>Dist_Proad_LQ_CR*'Regional data'!C24*NB_LQ_CR</f>
        <v>0</v>
      </c>
      <c r="I118" s="142">
        <f>Dist_Proad_MQ_CR*'Regional data'!D24*NB_MQ_CR</f>
        <v>0</v>
      </c>
      <c r="J118" s="134">
        <f>Dist_Proad_SQ_CR*'Regional data'!E24*NB_SQ_CR</f>
        <v>0</v>
      </c>
      <c r="K118" s="141">
        <f>Dist_Uroad_LQ_SG*'Regional data'!I24*NB_LQ_SG</f>
        <v>0</v>
      </c>
      <c r="L118" s="142">
        <f>Dist_Uroad_MQ_SG*'Regional data'!J24*NB_MQ_SG</f>
        <v>0</v>
      </c>
      <c r="M118" s="142">
        <f>Dist_Uroad_SQ_SG*'Regional data'!K24*NB_SQ_SG</f>
        <v>0</v>
      </c>
      <c r="N118" s="191">
        <f>Dist_Proad_LQ_SG*'Regional data'!I24*NB_LQ_SG</f>
        <v>0</v>
      </c>
      <c r="O118" s="142">
        <f>Dist_Proad_MQ_SG*'Regional data'!J24*NB_MQ_SG</f>
        <v>0</v>
      </c>
      <c r="P118" s="134">
        <f>Dist_Proad_SQ_SG*'Regional data'!K24*NB_SQ_SG</f>
        <v>0</v>
      </c>
    </row>
    <row r="119" spans="2:16" x14ac:dyDescent="0.25">
      <c r="B119" s="69" t="str">
        <f>IF('Regional data'!B25="","-",'Regional data'!B25)</f>
        <v>-</v>
      </c>
      <c r="C119" s="247">
        <f>1-'Regional data'!V25/365</f>
        <v>1</v>
      </c>
      <c r="D119" s="247">
        <f>1-'Regional data'!V25/(4*365)</f>
        <v>1</v>
      </c>
      <c r="E119" s="141">
        <f>Dist_Uroad_LQ_CR*'Regional data'!C25*NB_LQ_CR</f>
        <v>0</v>
      </c>
      <c r="F119" s="142">
        <f>Dist_Uroad_MQ_CR*'Regional data'!D25*NB_MQ_CR</f>
        <v>0</v>
      </c>
      <c r="G119" s="192">
        <f>Dist_Uroad_SQ_CR*'Regional data'!E25*NB_SQ_CR</f>
        <v>0</v>
      </c>
      <c r="H119" s="142">
        <f>Dist_Proad_LQ_CR*'Regional data'!C25*NB_LQ_CR</f>
        <v>0</v>
      </c>
      <c r="I119" s="142">
        <f>Dist_Proad_MQ_CR*'Regional data'!D25*NB_MQ_CR</f>
        <v>0</v>
      </c>
      <c r="J119" s="134">
        <f>Dist_Proad_SQ_CR*'Regional data'!E25*NB_SQ_CR</f>
        <v>0</v>
      </c>
      <c r="K119" s="141">
        <f>Dist_Uroad_LQ_SG*'Regional data'!I25*NB_LQ_SG</f>
        <v>0</v>
      </c>
      <c r="L119" s="142">
        <f>Dist_Uroad_MQ_SG*'Regional data'!J25*NB_MQ_SG</f>
        <v>0</v>
      </c>
      <c r="M119" s="142">
        <f>Dist_Uroad_SQ_SG*'Regional data'!K25*NB_SQ_SG</f>
        <v>0</v>
      </c>
      <c r="N119" s="191">
        <f>Dist_Proad_LQ_SG*'Regional data'!I25*NB_LQ_SG</f>
        <v>0</v>
      </c>
      <c r="O119" s="142">
        <f>Dist_Proad_MQ_SG*'Regional data'!J25*NB_MQ_SG</f>
        <v>0</v>
      </c>
      <c r="P119" s="134">
        <f>Dist_Proad_SQ_SG*'Regional data'!K25*NB_SQ_SG</f>
        <v>0</v>
      </c>
    </row>
    <row r="120" spans="2:16" x14ac:dyDescent="0.25">
      <c r="B120" s="69" t="str">
        <f>IF('Regional data'!B26="","-",'Regional data'!B26)</f>
        <v>-</v>
      </c>
      <c r="C120" s="247">
        <f>1-'Regional data'!V26/365</f>
        <v>1</v>
      </c>
      <c r="D120" s="247">
        <f>1-'Regional data'!V26/(4*365)</f>
        <v>1</v>
      </c>
      <c r="E120" s="141">
        <f>Dist_Uroad_LQ_CR*'Regional data'!C26*NB_LQ_CR</f>
        <v>0</v>
      </c>
      <c r="F120" s="142">
        <f>Dist_Uroad_MQ_CR*'Regional data'!D26*NB_MQ_CR</f>
        <v>0</v>
      </c>
      <c r="G120" s="192">
        <f>Dist_Uroad_SQ_CR*'Regional data'!E26*NB_SQ_CR</f>
        <v>0</v>
      </c>
      <c r="H120" s="142">
        <f>Dist_Proad_LQ_CR*'Regional data'!C26*NB_LQ_CR</f>
        <v>0</v>
      </c>
      <c r="I120" s="142">
        <f>Dist_Proad_MQ_CR*'Regional data'!D26*NB_MQ_CR</f>
        <v>0</v>
      </c>
      <c r="J120" s="134">
        <f>Dist_Proad_SQ_CR*'Regional data'!E26*NB_SQ_CR</f>
        <v>0</v>
      </c>
      <c r="K120" s="141">
        <f>Dist_Uroad_LQ_SG*'Regional data'!I26*NB_LQ_SG</f>
        <v>0</v>
      </c>
      <c r="L120" s="142">
        <f>Dist_Uroad_MQ_SG*'Regional data'!J26*NB_MQ_SG</f>
        <v>0</v>
      </c>
      <c r="M120" s="142">
        <f>Dist_Uroad_SQ_SG*'Regional data'!K26*NB_SQ_SG</f>
        <v>0</v>
      </c>
      <c r="N120" s="191">
        <f>Dist_Proad_LQ_SG*'Regional data'!I26*NB_LQ_SG</f>
        <v>0</v>
      </c>
      <c r="O120" s="142">
        <f>Dist_Proad_MQ_SG*'Regional data'!J26*NB_MQ_SG</f>
        <v>0</v>
      </c>
      <c r="P120" s="134">
        <f>Dist_Proad_SQ_SG*'Regional data'!K26*NB_SQ_SG</f>
        <v>0</v>
      </c>
    </row>
    <row r="121" spans="2:16" x14ac:dyDescent="0.25">
      <c r="B121" s="69" t="str">
        <f>IF('Regional data'!B27="","-",'Regional data'!B27)</f>
        <v>-</v>
      </c>
      <c r="C121" s="247">
        <f>1-'Regional data'!V27/365</f>
        <v>1</v>
      </c>
      <c r="D121" s="247">
        <f>1-'Regional data'!V27/(4*365)</f>
        <v>1</v>
      </c>
      <c r="E121" s="141">
        <f>Dist_Uroad_LQ_CR*'Regional data'!C27*NB_LQ_CR</f>
        <v>0</v>
      </c>
      <c r="F121" s="142">
        <f>Dist_Uroad_MQ_CR*'Regional data'!D27*NB_MQ_CR</f>
        <v>0</v>
      </c>
      <c r="G121" s="192">
        <f>Dist_Uroad_SQ_CR*'Regional data'!E27*NB_SQ_CR</f>
        <v>0</v>
      </c>
      <c r="H121" s="142">
        <f>Dist_Proad_LQ_CR*'Regional data'!C27*NB_LQ_CR</f>
        <v>0</v>
      </c>
      <c r="I121" s="142">
        <f>Dist_Proad_MQ_CR*'Regional data'!D27*NB_MQ_CR</f>
        <v>0</v>
      </c>
      <c r="J121" s="134">
        <f>Dist_Proad_SQ_CR*'Regional data'!E27*NB_SQ_CR</f>
        <v>0</v>
      </c>
      <c r="K121" s="141">
        <f>Dist_Uroad_LQ_SG*'Regional data'!I27*NB_LQ_SG</f>
        <v>0</v>
      </c>
      <c r="L121" s="142">
        <f>Dist_Uroad_MQ_SG*'Regional data'!J27*NB_MQ_SG</f>
        <v>0</v>
      </c>
      <c r="M121" s="142">
        <f>Dist_Uroad_SQ_SG*'Regional data'!K27*NB_SQ_SG</f>
        <v>0</v>
      </c>
      <c r="N121" s="191">
        <f>Dist_Proad_LQ_SG*'Regional data'!I27*NB_LQ_SG</f>
        <v>0</v>
      </c>
      <c r="O121" s="142">
        <f>Dist_Proad_MQ_SG*'Regional data'!J27*NB_MQ_SG</f>
        <v>0</v>
      </c>
      <c r="P121" s="134">
        <f>Dist_Proad_SQ_SG*'Regional data'!K27*NB_SQ_SG</f>
        <v>0</v>
      </c>
    </row>
    <row r="122" spans="2:16" x14ac:dyDescent="0.25">
      <c r="B122" s="69" t="str">
        <f>IF('Regional data'!B28="","-",'Regional data'!B28)</f>
        <v>-</v>
      </c>
      <c r="C122" s="247">
        <f>1-'Regional data'!V28/365</f>
        <v>1</v>
      </c>
      <c r="D122" s="247">
        <f>1-'Regional data'!V28/(4*365)</f>
        <v>1</v>
      </c>
      <c r="E122" s="141">
        <f>Dist_Uroad_LQ_CR*'Regional data'!C28*NB_LQ_CR</f>
        <v>0</v>
      </c>
      <c r="F122" s="142">
        <f>Dist_Uroad_MQ_CR*'Regional data'!D28*NB_MQ_CR</f>
        <v>0</v>
      </c>
      <c r="G122" s="192">
        <f>Dist_Uroad_SQ_CR*'Regional data'!E28*NB_SQ_CR</f>
        <v>0</v>
      </c>
      <c r="H122" s="142">
        <f>Dist_Proad_LQ_CR*'Regional data'!C28*NB_LQ_CR</f>
        <v>0</v>
      </c>
      <c r="I122" s="142">
        <f>Dist_Proad_MQ_CR*'Regional data'!D28*NB_MQ_CR</f>
        <v>0</v>
      </c>
      <c r="J122" s="134">
        <f>Dist_Proad_SQ_CR*'Regional data'!E28*NB_SQ_CR</f>
        <v>0</v>
      </c>
      <c r="K122" s="141">
        <f>Dist_Uroad_LQ_SG*'Regional data'!I28*NB_LQ_SG</f>
        <v>0</v>
      </c>
      <c r="L122" s="142">
        <f>Dist_Uroad_MQ_SG*'Regional data'!J28*NB_MQ_SG</f>
        <v>0</v>
      </c>
      <c r="M122" s="142">
        <f>Dist_Uroad_SQ_SG*'Regional data'!K28*NB_SQ_SG</f>
        <v>0</v>
      </c>
      <c r="N122" s="191">
        <f>Dist_Proad_LQ_SG*'Regional data'!I28*NB_LQ_SG</f>
        <v>0</v>
      </c>
      <c r="O122" s="142">
        <f>Dist_Proad_MQ_SG*'Regional data'!J28*NB_MQ_SG</f>
        <v>0</v>
      </c>
      <c r="P122" s="134">
        <f>Dist_Proad_SQ_SG*'Regional data'!K28*NB_SQ_SG</f>
        <v>0</v>
      </c>
    </row>
    <row r="123" spans="2:16" x14ac:dyDescent="0.25">
      <c r="B123" s="69" t="str">
        <f>IF('Regional data'!B29="","-",'Regional data'!B29)</f>
        <v>-</v>
      </c>
      <c r="C123" s="247">
        <f>1-'Regional data'!V29/365</f>
        <v>1</v>
      </c>
      <c r="D123" s="247">
        <f>1-'Regional data'!V29/(4*365)</f>
        <v>1</v>
      </c>
      <c r="E123" s="141">
        <f>Dist_Uroad_LQ_CR*'Regional data'!C29*NB_LQ_CR</f>
        <v>0</v>
      </c>
      <c r="F123" s="142">
        <f>Dist_Uroad_MQ_CR*'Regional data'!D29*NB_MQ_CR</f>
        <v>0</v>
      </c>
      <c r="G123" s="192">
        <f>Dist_Uroad_SQ_CR*'Regional data'!E29*NB_SQ_CR</f>
        <v>0</v>
      </c>
      <c r="H123" s="142">
        <f>Dist_Proad_LQ_CR*'Regional data'!C29*NB_LQ_CR</f>
        <v>0</v>
      </c>
      <c r="I123" s="142">
        <f>Dist_Proad_MQ_CR*'Regional data'!D29*NB_MQ_CR</f>
        <v>0</v>
      </c>
      <c r="J123" s="134">
        <f>Dist_Proad_SQ_CR*'Regional data'!E29*NB_SQ_CR</f>
        <v>0</v>
      </c>
      <c r="K123" s="141">
        <f>Dist_Uroad_LQ_SG*'Regional data'!I29*NB_LQ_SG</f>
        <v>0</v>
      </c>
      <c r="L123" s="142">
        <f>Dist_Uroad_MQ_SG*'Regional data'!J29*NB_MQ_SG</f>
        <v>0</v>
      </c>
      <c r="M123" s="142">
        <f>Dist_Uroad_SQ_SG*'Regional data'!K29*NB_SQ_SG</f>
        <v>0</v>
      </c>
      <c r="N123" s="191">
        <f>Dist_Proad_LQ_SG*'Regional data'!I29*NB_LQ_SG</f>
        <v>0</v>
      </c>
      <c r="O123" s="142">
        <f>Dist_Proad_MQ_SG*'Regional data'!J29*NB_MQ_SG</f>
        <v>0</v>
      </c>
      <c r="P123" s="134">
        <f>Dist_Proad_SQ_SG*'Regional data'!K29*NB_SQ_SG</f>
        <v>0</v>
      </c>
    </row>
    <row r="124" spans="2:16" x14ac:dyDescent="0.25">
      <c r="B124" s="69" t="str">
        <f>IF('Regional data'!B30="","-",'Regional data'!B30)</f>
        <v>-</v>
      </c>
      <c r="C124" s="247">
        <f>1-'Regional data'!V30/365</f>
        <v>1</v>
      </c>
      <c r="D124" s="247">
        <f>1-'Regional data'!V30/(4*365)</f>
        <v>1</v>
      </c>
      <c r="E124" s="141">
        <f>Dist_Uroad_LQ_CR*'Regional data'!C30*NB_LQ_CR</f>
        <v>0</v>
      </c>
      <c r="F124" s="142">
        <f>Dist_Uroad_MQ_CR*'Regional data'!D30*NB_MQ_CR</f>
        <v>0</v>
      </c>
      <c r="G124" s="192">
        <f>Dist_Uroad_SQ_CR*'Regional data'!E30*NB_SQ_CR</f>
        <v>0</v>
      </c>
      <c r="H124" s="142">
        <f>Dist_Proad_LQ_CR*'Regional data'!C30*NB_LQ_CR</f>
        <v>0</v>
      </c>
      <c r="I124" s="142">
        <f>Dist_Proad_MQ_CR*'Regional data'!D30*NB_MQ_CR</f>
        <v>0</v>
      </c>
      <c r="J124" s="134">
        <f>Dist_Proad_SQ_CR*'Regional data'!E30*NB_SQ_CR</f>
        <v>0</v>
      </c>
      <c r="K124" s="141">
        <f>Dist_Uroad_LQ_SG*'Regional data'!I30*NB_LQ_SG</f>
        <v>0</v>
      </c>
      <c r="L124" s="142">
        <f>Dist_Uroad_MQ_SG*'Regional data'!J30*NB_MQ_SG</f>
        <v>0</v>
      </c>
      <c r="M124" s="142">
        <f>Dist_Uroad_SQ_SG*'Regional data'!K30*NB_SQ_SG</f>
        <v>0</v>
      </c>
      <c r="N124" s="191">
        <f>Dist_Proad_LQ_SG*'Regional data'!I30*NB_LQ_SG</f>
        <v>0</v>
      </c>
      <c r="O124" s="142">
        <f>Dist_Proad_MQ_SG*'Regional data'!J30*NB_MQ_SG</f>
        <v>0</v>
      </c>
      <c r="P124" s="134">
        <f>Dist_Proad_SQ_SG*'Regional data'!K30*NB_SQ_SG</f>
        <v>0</v>
      </c>
    </row>
    <row r="125" spans="2:16" x14ac:dyDescent="0.25">
      <c r="B125" s="69" t="str">
        <f>IF('Regional data'!B31="","-",'Regional data'!B31)</f>
        <v>-</v>
      </c>
      <c r="C125" s="247">
        <f>1-'Regional data'!V31/365</f>
        <v>1</v>
      </c>
      <c r="D125" s="247">
        <f>1-'Regional data'!V31/(4*365)</f>
        <v>1</v>
      </c>
      <c r="E125" s="141">
        <f>Dist_Uroad_LQ_CR*'Regional data'!C31*NB_LQ_CR</f>
        <v>0</v>
      </c>
      <c r="F125" s="142">
        <f>Dist_Uroad_MQ_CR*'Regional data'!D31*NB_MQ_CR</f>
        <v>0</v>
      </c>
      <c r="G125" s="192">
        <f>Dist_Uroad_SQ_CR*'Regional data'!E31*NB_SQ_CR</f>
        <v>0</v>
      </c>
      <c r="H125" s="142">
        <f>Dist_Proad_LQ_CR*'Regional data'!C31*NB_LQ_CR</f>
        <v>0</v>
      </c>
      <c r="I125" s="142">
        <f>Dist_Proad_MQ_CR*'Regional data'!D31*NB_MQ_CR</f>
        <v>0</v>
      </c>
      <c r="J125" s="134">
        <f>Dist_Proad_SQ_CR*'Regional data'!E31*NB_SQ_CR</f>
        <v>0</v>
      </c>
      <c r="K125" s="141">
        <f>Dist_Uroad_LQ_SG*'Regional data'!I31*NB_LQ_SG</f>
        <v>0</v>
      </c>
      <c r="L125" s="142">
        <f>Dist_Uroad_MQ_SG*'Regional data'!J31*NB_MQ_SG</f>
        <v>0</v>
      </c>
      <c r="M125" s="142">
        <f>Dist_Uroad_SQ_SG*'Regional data'!K31*NB_SQ_SG</f>
        <v>0</v>
      </c>
      <c r="N125" s="191">
        <f>Dist_Proad_LQ_SG*'Regional data'!I31*NB_LQ_SG</f>
        <v>0</v>
      </c>
      <c r="O125" s="142">
        <f>Dist_Proad_MQ_SG*'Regional data'!J31*NB_MQ_SG</f>
        <v>0</v>
      </c>
      <c r="P125" s="134">
        <f>Dist_Proad_SQ_SG*'Regional data'!K31*NB_SQ_SG</f>
        <v>0</v>
      </c>
    </row>
    <row r="126" spans="2:16" x14ac:dyDescent="0.25">
      <c r="B126" s="69" t="str">
        <f>IF('Regional data'!B32="","-",'Regional data'!B32)</f>
        <v>-</v>
      </c>
      <c r="C126" s="247">
        <f>1-'Regional data'!V32/365</f>
        <v>1</v>
      </c>
      <c r="D126" s="247">
        <f>1-'Regional data'!V32/(4*365)</f>
        <v>1</v>
      </c>
      <c r="E126" s="141">
        <f>Dist_Uroad_LQ_CR*'Regional data'!C32*NB_LQ_CR</f>
        <v>0</v>
      </c>
      <c r="F126" s="142">
        <f>Dist_Uroad_MQ_CR*'Regional data'!D32*NB_MQ_CR</f>
        <v>0</v>
      </c>
      <c r="G126" s="192">
        <f>Dist_Uroad_SQ_CR*'Regional data'!E32*NB_SQ_CR</f>
        <v>0</v>
      </c>
      <c r="H126" s="142">
        <f>Dist_Proad_LQ_CR*'Regional data'!C32*NB_LQ_CR</f>
        <v>0</v>
      </c>
      <c r="I126" s="142">
        <f>Dist_Proad_MQ_CR*'Regional data'!D32*NB_MQ_CR</f>
        <v>0</v>
      </c>
      <c r="J126" s="134">
        <f>Dist_Proad_SQ_CR*'Regional data'!E32*NB_SQ_CR</f>
        <v>0</v>
      </c>
      <c r="K126" s="141">
        <f>Dist_Uroad_LQ_SG*'Regional data'!I32*NB_LQ_SG</f>
        <v>0</v>
      </c>
      <c r="L126" s="142">
        <f>Dist_Uroad_MQ_SG*'Regional data'!J32*NB_MQ_SG</f>
        <v>0</v>
      </c>
      <c r="M126" s="142">
        <f>Dist_Uroad_SQ_SG*'Regional data'!K32*NB_SQ_SG</f>
        <v>0</v>
      </c>
      <c r="N126" s="191">
        <f>Dist_Proad_LQ_SG*'Regional data'!I32*NB_LQ_SG</f>
        <v>0</v>
      </c>
      <c r="O126" s="142">
        <f>Dist_Proad_MQ_SG*'Regional data'!J32*NB_MQ_SG</f>
        <v>0</v>
      </c>
      <c r="P126" s="134">
        <f>Dist_Proad_SQ_SG*'Regional data'!K32*NB_SQ_SG</f>
        <v>0</v>
      </c>
    </row>
    <row r="127" spans="2:16" x14ac:dyDescent="0.25">
      <c r="B127" s="69" t="str">
        <f>IF('Regional data'!B33="","-",'Regional data'!B33)</f>
        <v>-</v>
      </c>
      <c r="C127" s="247">
        <f>1-'Regional data'!V33/365</f>
        <v>1</v>
      </c>
      <c r="D127" s="247">
        <f>1-'Regional data'!V33/(4*365)</f>
        <v>1</v>
      </c>
      <c r="E127" s="141">
        <f>Dist_Uroad_LQ_CR*'Regional data'!C33*NB_LQ_CR</f>
        <v>0</v>
      </c>
      <c r="F127" s="142">
        <f>Dist_Uroad_MQ_CR*'Regional data'!D33*NB_MQ_CR</f>
        <v>0</v>
      </c>
      <c r="G127" s="192">
        <f>Dist_Uroad_SQ_CR*'Regional data'!E33*NB_SQ_CR</f>
        <v>0</v>
      </c>
      <c r="H127" s="142">
        <f>Dist_Proad_LQ_CR*'Regional data'!C33*NB_LQ_CR</f>
        <v>0</v>
      </c>
      <c r="I127" s="142">
        <f>Dist_Proad_MQ_CR*'Regional data'!D33*NB_MQ_CR</f>
        <v>0</v>
      </c>
      <c r="J127" s="134">
        <f>Dist_Proad_SQ_CR*'Regional data'!E33*NB_SQ_CR</f>
        <v>0</v>
      </c>
      <c r="K127" s="141">
        <f>Dist_Uroad_LQ_SG*'Regional data'!I33*NB_LQ_SG</f>
        <v>0</v>
      </c>
      <c r="L127" s="142">
        <f>Dist_Uroad_MQ_SG*'Regional data'!J33*NB_MQ_SG</f>
        <v>0</v>
      </c>
      <c r="M127" s="142">
        <f>Dist_Uroad_SQ_SG*'Regional data'!K33*NB_SQ_SG</f>
        <v>0</v>
      </c>
      <c r="N127" s="191">
        <f>Dist_Proad_LQ_SG*'Regional data'!I33*NB_LQ_SG</f>
        <v>0</v>
      </c>
      <c r="O127" s="142">
        <f>Dist_Proad_MQ_SG*'Regional data'!J33*NB_MQ_SG</f>
        <v>0</v>
      </c>
      <c r="P127" s="134">
        <f>Dist_Proad_SQ_SG*'Regional data'!K33*NB_SQ_SG</f>
        <v>0</v>
      </c>
    </row>
    <row r="128" spans="2:16" x14ac:dyDescent="0.25">
      <c r="B128" s="69" t="str">
        <f>IF('Regional data'!B34="","-",'Regional data'!B34)</f>
        <v>-</v>
      </c>
      <c r="C128" s="247">
        <f>1-'Regional data'!V34/365</f>
        <v>1</v>
      </c>
      <c r="D128" s="247">
        <f>1-'Regional data'!V34/(4*365)</f>
        <v>1</v>
      </c>
      <c r="E128" s="141">
        <f>Dist_Uroad_LQ_CR*'Regional data'!C34*NB_LQ_CR</f>
        <v>0</v>
      </c>
      <c r="F128" s="142">
        <f>Dist_Uroad_MQ_CR*'Regional data'!D34*NB_MQ_CR</f>
        <v>0</v>
      </c>
      <c r="G128" s="192">
        <f>Dist_Uroad_SQ_CR*'Regional data'!E34*NB_SQ_CR</f>
        <v>0</v>
      </c>
      <c r="H128" s="142">
        <f>Dist_Proad_LQ_CR*'Regional data'!C34*NB_LQ_CR</f>
        <v>0</v>
      </c>
      <c r="I128" s="142">
        <f>Dist_Proad_MQ_CR*'Regional data'!D34*NB_MQ_CR</f>
        <v>0</v>
      </c>
      <c r="J128" s="134">
        <f>Dist_Proad_SQ_CR*'Regional data'!E34*NB_SQ_CR</f>
        <v>0</v>
      </c>
      <c r="K128" s="141">
        <f>Dist_Uroad_LQ_SG*'Regional data'!I34*NB_LQ_SG</f>
        <v>0</v>
      </c>
      <c r="L128" s="142">
        <f>Dist_Uroad_MQ_SG*'Regional data'!J34*NB_MQ_SG</f>
        <v>0</v>
      </c>
      <c r="M128" s="142">
        <f>Dist_Uroad_SQ_SG*'Regional data'!K34*NB_SQ_SG</f>
        <v>0</v>
      </c>
      <c r="N128" s="191">
        <f>Dist_Proad_LQ_SG*'Regional data'!I34*NB_LQ_SG</f>
        <v>0</v>
      </c>
      <c r="O128" s="142">
        <f>Dist_Proad_MQ_SG*'Regional data'!J34*NB_MQ_SG</f>
        <v>0</v>
      </c>
      <c r="P128" s="134">
        <f>Dist_Proad_SQ_SG*'Regional data'!K34*NB_SQ_SG</f>
        <v>0</v>
      </c>
    </row>
    <row r="129" spans="2:16" x14ac:dyDescent="0.25">
      <c r="B129" s="69" t="str">
        <f>IF('Regional data'!B35="","-",'Regional data'!B35)</f>
        <v>-</v>
      </c>
      <c r="C129" s="247">
        <f>1-'Regional data'!V35/365</f>
        <v>1</v>
      </c>
      <c r="D129" s="247">
        <f>1-'Regional data'!V35/(4*365)</f>
        <v>1</v>
      </c>
      <c r="E129" s="141">
        <f>Dist_Uroad_LQ_CR*'Regional data'!C35*NB_LQ_CR</f>
        <v>0</v>
      </c>
      <c r="F129" s="142">
        <f>Dist_Uroad_MQ_CR*'Regional data'!D35*NB_MQ_CR</f>
        <v>0</v>
      </c>
      <c r="G129" s="192">
        <f>Dist_Uroad_SQ_CR*'Regional data'!E35*NB_SQ_CR</f>
        <v>0</v>
      </c>
      <c r="H129" s="142">
        <f>Dist_Proad_LQ_CR*'Regional data'!C35*NB_LQ_CR</f>
        <v>0</v>
      </c>
      <c r="I129" s="142">
        <f>Dist_Proad_MQ_CR*'Regional data'!D35*NB_MQ_CR</f>
        <v>0</v>
      </c>
      <c r="J129" s="134">
        <f>Dist_Proad_SQ_CR*'Regional data'!E35*NB_SQ_CR</f>
        <v>0</v>
      </c>
      <c r="K129" s="141">
        <f>Dist_Uroad_LQ_SG*'Regional data'!I35*NB_LQ_SG</f>
        <v>0</v>
      </c>
      <c r="L129" s="142">
        <f>Dist_Uroad_MQ_SG*'Regional data'!J35*NB_MQ_SG</f>
        <v>0</v>
      </c>
      <c r="M129" s="142">
        <f>Dist_Uroad_SQ_SG*'Regional data'!K35*NB_SQ_SG</f>
        <v>0</v>
      </c>
      <c r="N129" s="191">
        <f>Dist_Proad_LQ_SG*'Regional data'!I35*NB_LQ_SG</f>
        <v>0</v>
      </c>
      <c r="O129" s="142">
        <f>Dist_Proad_MQ_SG*'Regional data'!J35*NB_MQ_SG</f>
        <v>0</v>
      </c>
      <c r="P129" s="134">
        <f>Dist_Proad_SQ_SG*'Regional data'!K35*NB_SQ_SG</f>
        <v>0</v>
      </c>
    </row>
    <row r="130" spans="2:16" x14ac:dyDescent="0.25">
      <c r="B130" s="69" t="str">
        <f>IF('Regional data'!B36="","-",'Regional data'!B36)</f>
        <v>-</v>
      </c>
      <c r="C130" s="247">
        <f>1-'Regional data'!V36/365</f>
        <v>1</v>
      </c>
      <c r="D130" s="247">
        <f>1-'Regional data'!V36/(4*365)</f>
        <v>1</v>
      </c>
      <c r="E130" s="141">
        <f>Dist_Uroad_LQ_CR*'Regional data'!C36*NB_LQ_CR</f>
        <v>0</v>
      </c>
      <c r="F130" s="142">
        <f>Dist_Uroad_MQ_CR*'Regional data'!D36*NB_MQ_CR</f>
        <v>0</v>
      </c>
      <c r="G130" s="192">
        <f>Dist_Uroad_SQ_CR*'Regional data'!E36*NB_SQ_CR</f>
        <v>0</v>
      </c>
      <c r="H130" s="142">
        <f>Dist_Proad_LQ_CR*'Regional data'!C36*NB_LQ_CR</f>
        <v>0</v>
      </c>
      <c r="I130" s="142">
        <f>Dist_Proad_MQ_CR*'Regional data'!D36*NB_MQ_CR</f>
        <v>0</v>
      </c>
      <c r="J130" s="134">
        <f>Dist_Proad_SQ_CR*'Regional data'!E36*NB_SQ_CR</f>
        <v>0</v>
      </c>
      <c r="K130" s="141">
        <f>Dist_Uroad_LQ_SG*'Regional data'!I36*NB_LQ_SG</f>
        <v>0</v>
      </c>
      <c r="L130" s="142">
        <f>Dist_Uroad_MQ_SG*'Regional data'!J36*NB_MQ_SG</f>
        <v>0</v>
      </c>
      <c r="M130" s="142">
        <f>Dist_Uroad_SQ_SG*'Regional data'!K36*NB_SQ_SG</f>
        <v>0</v>
      </c>
      <c r="N130" s="191">
        <f>Dist_Proad_LQ_SG*'Regional data'!I36*NB_LQ_SG</f>
        <v>0</v>
      </c>
      <c r="O130" s="142">
        <f>Dist_Proad_MQ_SG*'Regional data'!J36*NB_MQ_SG</f>
        <v>0</v>
      </c>
      <c r="P130" s="134">
        <f>Dist_Proad_SQ_SG*'Regional data'!K36*NB_SQ_SG</f>
        <v>0</v>
      </c>
    </row>
    <row r="131" spans="2:16" x14ac:dyDescent="0.25">
      <c r="B131" s="69" t="str">
        <f>IF('Regional data'!B37="","-",'Regional data'!B37)</f>
        <v>-</v>
      </c>
      <c r="C131" s="247">
        <f>1-'Regional data'!V37/365</f>
        <v>1</v>
      </c>
      <c r="D131" s="247">
        <f>1-'Regional data'!V37/(4*365)</f>
        <v>1</v>
      </c>
      <c r="E131" s="141">
        <f>Dist_Uroad_LQ_CR*'Regional data'!C37*NB_LQ_CR</f>
        <v>0</v>
      </c>
      <c r="F131" s="142">
        <f>Dist_Uroad_MQ_CR*'Regional data'!D37*NB_MQ_CR</f>
        <v>0</v>
      </c>
      <c r="G131" s="192">
        <f>Dist_Uroad_SQ_CR*'Regional data'!E37*NB_SQ_CR</f>
        <v>0</v>
      </c>
      <c r="H131" s="142">
        <f>Dist_Proad_LQ_CR*'Regional data'!C37*NB_LQ_CR</f>
        <v>0</v>
      </c>
      <c r="I131" s="142">
        <f>Dist_Proad_MQ_CR*'Regional data'!D37*NB_MQ_CR</f>
        <v>0</v>
      </c>
      <c r="J131" s="134">
        <f>Dist_Proad_SQ_CR*'Regional data'!E37*NB_SQ_CR</f>
        <v>0</v>
      </c>
      <c r="K131" s="141">
        <f>Dist_Uroad_LQ_SG*'Regional data'!I37*NB_LQ_SG</f>
        <v>0</v>
      </c>
      <c r="L131" s="142">
        <f>Dist_Uroad_MQ_SG*'Regional data'!J37*NB_MQ_SG</f>
        <v>0</v>
      </c>
      <c r="M131" s="142">
        <f>Dist_Uroad_SQ_SG*'Regional data'!K37*NB_SQ_SG</f>
        <v>0</v>
      </c>
      <c r="N131" s="191">
        <f>Dist_Proad_LQ_SG*'Regional data'!I37*NB_LQ_SG</f>
        <v>0</v>
      </c>
      <c r="O131" s="142">
        <f>Dist_Proad_MQ_SG*'Regional data'!J37*NB_MQ_SG</f>
        <v>0</v>
      </c>
      <c r="P131" s="134">
        <f>Dist_Proad_SQ_SG*'Regional data'!K37*NB_SQ_SG</f>
        <v>0</v>
      </c>
    </row>
    <row r="132" spans="2:16" x14ac:dyDescent="0.25">
      <c r="B132" s="69" t="str">
        <f>IF('Regional data'!B38="","-",'Regional data'!B38)</f>
        <v>-</v>
      </c>
      <c r="C132" s="247">
        <f>1-'Regional data'!V38/365</f>
        <v>1</v>
      </c>
      <c r="D132" s="247">
        <f>1-'Regional data'!V38/(4*365)</f>
        <v>1</v>
      </c>
      <c r="E132" s="141">
        <f>Dist_Uroad_LQ_CR*'Regional data'!C38*NB_LQ_CR</f>
        <v>0</v>
      </c>
      <c r="F132" s="142">
        <f>Dist_Uroad_MQ_CR*'Regional data'!D38*NB_MQ_CR</f>
        <v>0</v>
      </c>
      <c r="G132" s="192">
        <f>Dist_Uroad_SQ_CR*'Regional data'!E38*NB_SQ_CR</f>
        <v>0</v>
      </c>
      <c r="H132" s="142">
        <f>Dist_Proad_LQ_CR*'Regional data'!C38*NB_LQ_CR</f>
        <v>0</v>
      </c>
      <c r="I132" s="142">
        <f>Dist_Proad_MQ_CR*'Regional data'!D38*NB_MQ_CR</f>
        <v>0</v>
      </c>
      <c r="J132" s="134">
        <f>Dist_Proad_SQ_CR*'Regional data'!E38*NB_SQ_CR</f>
        <v>0</v>
      </c>
      <c r="K132" s="141">
        <f>Dist_Uroad_LQ_SG*'Regional data'!I38*NB_LQ_SG</f>
        <v>0</v>
      </c>
      <c r="L132" s="142">
        <f>Dist_Uroad_MQ_SG*'Regional data'!J38*NB_MQ_SG</f>
        <v>0</v>
      </c>
      <c r="M132" s="142">
        <f>Dist_Uroad_SQ_SG*'Regional data'!K38*NB_SQ_SG</f>
        <v>0</v>
      </c>
      <c r="N132" s="191">
        <f>Dist_Proad_LQ_SG*'Regional data'!I38*NB_LQ_SG</f>
        <v>0</v>
      </c>
      <c r="O132" s="142">
        <f>Dist_Proad_MQ_SG*'Regional data'!J38*NB_MQ_SG</f>
        <v>0</v>
      </c>
      <c r="P132" s="134">
        <f>Dist_Proad_SQ_SG*'Regional data'!K38*NB_SQ_SG</f>
        <v>0</v>
      </c>
    </row>
    <row r="133" spans="2:16" x14ac:dyDescent="0.25">
      <c r="B133" s="69" t="str">
        <f>IF('Regional data'!B39="","-",'Regional data'!B39)</f>
        <v>-</v>
      </c>
      <c r="C133" s="247">
        <f>1-'Regional data'!V39/365</f>
        <v>1</v>
      </c>
      <c r="D133" s="247">
        <f>1-'Regional data'!V39/(4*365)</f>
        <v>1</v>
      </c>
      <c r="E133" s="141">
        <f>Dist_Uroad_LQ_CR*'Regional data'!C39*NB_LQ_CR</f>
        <v>0</v>
      </c>
      <c r="F133" s="142">
        <f>Dist_Uroad_MQ_CR*'Regional data'!D39*NB_MQ_CR</f>
        <v>0</v>
      </c>
      <c r="G133" s="192">
        <f>Dist_Uroad_SQ_CR*'Regional data'!E39*NB_SQ_CR</f>
        <v>0</v>
      </c>
      <c r="H133" s="142">
        <f>Dist_Proad_LQ_CR*'Regional data'!C39*NB_LQ_CR</f>
        <v>0</v>
      </c>
      <c r="I133" s="142">
        <f>Dist_Proad_MQ_CR*'Regional data'!D39*NB_MQ_CR</f>
        <v>0</v>
      </c>
      <c r="J133" s="134">
        <f>Dist_Proad_SQ_CR*'Regional data'!E39*NB_SQ_CR</f>
        <v>0</v>
      </c>
      <c r="K133" s="141">
        <f>Dist_Uroad_LQ_SG*'Regional data'!I39*NB_LQ_SG</f>
        <v>0</v>
      </c>
      <c r="L133" s="142">
        <f>Dist_Uroad_MQ_SG*'Regional data'!J39*NB_MQ_SG</f>
        <v>0</v>
      </c>
      <c r="M133" s="142">
        <f>Dist_Uroad_SQ_SG*'Regional data'!K39*NB_SQ_SG</f>
        <v>0</v>
      </c>
      <c r="N133" s="191">
        <f>Dist_Proad_LQ_SG*'Regional data'!I39*NB_LQ_SG</f>
        <v>0</v>
      </c>
      <c r="O133" s="142">
        <f>Dist_Proad_MQ_SG*'Regional data'!J39*NB_MQ_SG</f>
        <v>0</v>
      </c>
      <c r="P133" s="134">
        <f>Dist_Proad_SQ_SG*'Regional data'!K39*NB_SQ_SG</f>
        <v>0</v>
      </c>
    </row>
    <row r="134" spans="2:16" x14ac:dyDescent="0.25">
      <c r="B134" s="69" t="str">
        <f>IF('Regional data'!B40="","-",'Regional data'!B40)</f>
        <v>-</v>
      </c>
      <c r="C134" s="247">
        <f>1-'Regional data'!V40/365</f>
        <v>1</v>
      </c>
      <c r="D134" s="247">
        <f>1-'Regional data'!V40/(4*365)</f>
        <v>1</v>
      </c>
      <c r="E134" s="141">
        <f>Dist_Uroad_LQ_CR*'Regional data'!C40*NB_LQ_CR</f>
        <v>0</v>
      </c>
      <c r="F134" s="142">
        <f>Dist_Uroad_MQ_CR*'Regional data'!D40*NB_MQ_CR</f>
        <v>0</v>
      </c>
      <c r="G134" s="192">
        <f>Dist_Uroad_SQ_CR*'Regional data'!E40*NB_SQ_CR</f>
        <v>0</v>
      </c>
      <c r="H134" s="142">
        <f>Dist_Proad_LQ_CR*'Regional data'!C40*NB_LQ_CR</f>
        <v>0</v>
      </c>
      <c r="I134" s="142">
        <f>Dist_Proad_MQ_CR*'Regional data'!D40*NB_MQ_CR</f>
        <v>0</v>
      </c>
      <c r="J134" s="134">
        <f>Dist_Proad_SQ_CR*'Regional data'!E40*NB_SQ_CR</f>
        <v>0</v>
      </c>
      <c r="K134" s="141">
        <f>Dist_Uroad_LQ_SG*'Regional data'!I40*NB_LQ_SG</f>
        <v>0</v>
      </c>
      <c r="L134" s="142">
        <f>Dist_Uroad_MQ_SG*'Regional data'!J40*NB_MQ_SG</f>
        <v>0</v>
      </c>
      <c r="M134" s="142">
        <f>Dist_Uroad_SQ_SG*'Regional data'!K40*NB_SQ_SG</f>
        <v>0</v>
      </c>
      <c r="N134" s="191">
        <f>Dist_Proad_LQ_SG*'Regional data'!I40*NB_LQ_SG</f>
        <v>0</v>
      </c>
      <c r="O134" s="142">
        <f>Dist_Proad_MQ_SG*'Regional data'!J40*NB_MQ_SG</f>
        <v>0</v>
      </c>
      <c r="P134" s="134">
        <f>Dist_Proad_SQ_SG*'Regional data'!K40*NB_SQ_SG</f>
        <v>0</v>
      </c>
    </row>
    <row r="135" spans="2:16" x14ac:dyDescent="0.25">
      <c r="B135" s="69" t="str">
        <f>IF('Regional data'!B41="","-",'Regional data'!B41)</f>
        <v>-</v>
      </c>
      <c r="C135" s="247">
        <f>1-'Regional data'!V41/365</f>
        <v>1</v>
      </c>
      <c r="D135" s="247">
        <f>1-'Regional data'!V41/(4*365)</f>
        <v>1</v>
      </c>
      <c r="E135" s="141">
        <f>Dist_Uroad_LQ_CR*'Regional data'!C41*NB_LQ_CR</f>
        <v>0</v>
      </c>
      <c r="F135" s="142">
        <f>Dist_Uroad_MQ_CR*'Regional data'!D41*NB_MQ_CR</f>
        <v>0</v>
      </c>
      <c r="G135" s="192">
        <f>Dist_Uroad_SQ_CR*'Regional data'!E41*NB_SQ_CR</f>
        <v>0</v>
      </c>
      <c r="H135" s="142">
        <f>Dist_Proad_LQ_CR*'Regional data'!C41*NB_LQ_CR</f>
        <v>0</v>
      </c>
      <c r="I135" s="142">
        <f>Dist_Proad_MQ_CR*'Regional data'!D41*NB_MQ_CR</f>
        <v>0</v>
      </c>
      <c r="J135" s="134">
        <f>Dist_Proad_SQ_CR*'Regional data'!E41*NB_SQ_CR</f>
        <v>0</v>
      </c>
      <c r="K135" s="141">
        <f>Dist_Uroad_LQ_SG*'Regional data'!I41*NB_LQ_SG</f>
        <v>0</v>
      </c>
      <c r="L135" s="142">
        <f>Dist_Uroad_MQ_SG*'Regional data'!J41*NB_MQ_SG</f>
        <v>0</v>
      </c>
      <c r="M135" s="142">
        <f>Dist_Uroad_SQ_SG*'Regional data'!K41*NB_SQ_SG</f>
        <v>0</v>
      </c>
      <c r="N135" s="191">
        <f>Dist_Proad_LQ_SG*'Regional data'!I41*NB_LQ_SG</f>
        <v>0</v>
      </c>
      <c r="O135" s="142">
        <f>Dist_Proad_MQ_SG*'Regional data'!J41*NB_MQ_SG</f>
        <v>0</v>
      </c>
      <c r="P135" s="134">
        <f>Dist_Proad_SQ_SG*'Regional data'!K41*NB_SQ_SG</f>
        <v>0</v>
      </c>
    </row>
    <row r="136" spans="2:16" x14ac:dyDescent="0.25">
      <c r="B136" s="69" t="str">
        <f>IF('Regional data'!B42="","-",'Regional data'!B42)</f>
        <v>-</v>
      </c>
      <c r="C136" s="247">
        <f>1-'Regional data'!V42/365</f>
        <v>1</v>
      </c>
      <c r="D136" s="247">
        <f>1-'Regional data'!V42/(4*365)</f>
        <v>1</v>
      </c>
      <c r="E136" s="141">
        <f>Dist_Uroad_LQ_CR*'Regional data'!C42*NB_LQ_CR</f>
        <v>0</v>
      </c>
      <c r="F136" s="142">
        <f>Dist_Uroad_MQ_CR*'Regional data'!D42*NB_MQ_CR</f>
        <v>0</v>
      </c>
      <c r="G136" s="192">
        <f>Dist_Uroad_SQ_CR*'Regional data'!E42*NB_SQ_CR</f>
        <v>0</v>
      </c>
      <c r="H136" s="142">
        <f>Dist_Proad_LQ_CR*'Regional data'!C42*NB_LQ_CR</f>
        <v>0</v>
      </c>
      <c r="I136" s="142">
        <f>Dist_Proad_MQ_CR*'Regional data'!D42*NB_MQ_CR</f>
        <v>0</v>
      </c>
      <c r="J136" s="134">
        <f>Dist_Proad_SQ_CR*'Regional data'!E42*NB_SQ_CR</f>
        <v>0</v>
      </c>
      <c r="K136" s="141">
        <f>Dist_Uroad_LQ_SG*'Regional data'!I42*NB_LQ_SG</f>
        <v>0</v>
      </c>
      <c r="L136" s="142">
        <f>Dist_Uroad_MQ_SG*'Regional data'!J42*NB_MQ_SG</f>
        <v>0</v>
      </c>
      <c r="M136" s="142">
        <f>Dist_Uroad_SQ_SG*'Regional data'!K42*NB_SQ_SG</f>
        <v>0</v>
      </c>
      <c r="N136" s="191">
        <f>Dist_Proad_LQ_SG*'Regional data'!I42*NB_LQ_SG</f>
        <v>0</v>
      </c>
      <c r="O136" s="142">
        <f>Dist_Proad_MQ_SG*'Regional data'!J42*NB_MQ_SG</f>
        <v>0</v>
      </c>
      <c r="P136" s="134">
        <f>Dist_Proad_SQ_SG*'Regional data'!K42*NB_SQ_SG</f>
        <v>0</v>
      </c>
    </row>
    <row r="137" spans="2:16" x14ac:dyDescent="0.25">
      <c r="B137" s="69" t="str">
        <f>IF('Regional data'!B43="","-",'Regional data'!B43)</f>
        <v>-</v>
      </c>
      <c r="C137" s="247">
        <f>1-'Regional data'!V43/365</f>
        <v>1</v>
      </c>
      <c r="D137" s="247">
        <f>1-'Regional data'!V43/(4*365)</f>
        <v>1</v>
      </c>
      <c r="E137" s="141">
        <f>Dist_Uroad_LQ_CR*'Regional data'!C43*NB_LQ_CR</f>
        <v>0</v>
      </c>
      <c r="F137" s="142">
        <f>Dist_Uroad_MQ_CR*'Regional data'!D43*NB_MQ_CR</f>
        <v>0</v>
      </c>
      <c r="G137" s="192">
        <f>Dist_Uroad_SQ_CR*'Regional data'!E43*NB_SQ_CR</f>
        <v>0</v>
      </c>
      <c r="H137" s="142">
        <f>Dist_Proad_LQ_CR*'Regional data'!C43*NB_LQ_CR</f>
        <v>0</v>
      </c>
      <c r="I137" s="142">
        <f>Dist_Proad_MQ_CR*'Regional data'!D43*NB_MQ_CR</f>
        <v>0</v>
      </c>
      <c r="J137" s="134">
        <f>Dist_Proad_SQ_CR*'Regional data'!E43*NB_SQ_CR</f>
        <v>0</v>
      </c>
      <c r="K137" s="141">
        <f>Dist_Uroad_LQ_SG*'Regional data'!I43*NB_LQ_SG</f>
        <v>0</v>
      </c>
      <c r="L137" s="142">
        <f>Dist_Uroad_MQ_SG*'Regional data'!J43*NB_MQ_SG</f>
        <v>0</v>
      </c>
      <c r="M137" s="142">
        <f>Dist_Uroad_SQ_SG*'Regional data'!K43*NB_SQ_SG</f>
        <v>0</v>
      </c>
      <c r="N137" s="191">
        <f>Dist_Proad_LQ_SG*'Regional data'!I43*NB_LQ_SG</f>
        <v>0</v>
      </c>
      <c r="O137" s="142">
        <f>Dist_Proad_MQ_SG*'Regional data'!J43*NB_MQ_SG</f>
        <v>0</v>
      </c>
      <c r="P137" s="134">
        <f>Dist_Proad_SQ_SG*'Regional data'!K43*NB_SQ_SG</f>
        <v>0</v>
      </c>
    </row>
    <row r="138" spans="2:16" x14ac:dyDescent="0.25">
      <c r="B138" s="69" t="str">
        <f>IF('Regional data'!B44="","-",'Regional data'!B44)</f>
        <v>-</v>
      </c>
      <c r="C138" s="247">
        <f>1-'Regional data'!V44/365</f>
        <v>1</v>
      </c>
      <c r="D138" s="247">
        <f>1-'Regional data'!V44/(4*365)</f>
        <v>1</v>
      </c>
      <c r="E138" s="141">
        <f>Dist_Uroad_LQ_CR*'Regional data'!C44*NB_LQ_CR</f>
        <v>0</v>
      </c>
      <c r="F138" s="142">
        <f>Dist_Uroad_MQ_CR*'Regional data'!D44*NB_MQ_CR</f>
        <v>0</v>
      </c>
      <c r="G138" s="192">
        <f>Dist_Uroad_SQ_CR*'Regional data'!E44*NB_SQ_CR</f>
        <v>0</v>
      </c>
      <c r="H138" s="142">
        <f>Dist_Proad_LQ_CR*'Regional data'!C44*NB_LQ_CR</f>
        <v>0</v>
      </c>
      <c r="I138" s="142">
        <f>Dist_Proad_MQ_CR*'Regional data'!D44*NB_MQ_CR</f>
        <v>0</v>
      </c>
      <c r="J138" s="134">
        <f>Dist_Proad_SQ_CR*'Regional data'!E44*NB_SQ_CR</f>
        <v>0</v>
      </c>
      <c r="K138" s="141">
        <f>Dist_Uroad_LQ_SG*'Regional data'!I44*NB_LQ_SG</f>
        <v>0</v>
      </c>
      <c r="L138" s="142">
        <f>Dist_Uroad_MQ_SG*'Regional data'!J44*NB_MQ_SG</f>
        <v>0</v>
      </c>
      <c r="M138" s="142">
        <f>Dist_Uroad_SQ_SG*'Regional data'!K44*NB_SQ_SG</f>
        <v>0</v>
      </c>
      <c r="N138" s="191">
        <f>Dist_Proad_LQ_SG*'Regional data'!I44*NB_LQ_SG</f>
        <v>0</v>
      </c>
      <c r="O138" s="142">
        <f>Dist_Proad_MQ_SG*'Regional data'!J44*NB_MQ_SG</f>
        <v>0</v>
      </c>
      <c r="P138" s="134">
        <f>Dist_Proad_SQ_SG*'Regional data'!K44*NB_SQ_SG</f>
        <v>0</v>
      </c>
    </row>
    <row r="139" spans="2:16" x14ac:dyDescent="0.25">
      <c r="B139" s="69" t="str">
        <f>IF('Regional data'!B45="","-",'Regional data'!B45)</f>
        <v>-</v>
      </c>
      <c r="C139" s="247">
        <f>1-'Regional data'!V45/365</f>
        <v>1</v>
      </c>
      <c r="D139" s="247">
        <f>1-'Regional data'!V45/(4*365)</f>
        <v>1</v>
      </c>
      <c r="E139" s="141">
        <f>Dist_Uroad_LQ_CR*'Regional data'!C45*NB_LQ_CR</f>
        <v>0</v>
      </c>
      <c r="F139" s="142">
        <f>Dist_Uroad_MQ_CR*'Regional data'!D45*NB_MQ_CR</f>
        <v>0</v>
      </c>
      <c r="G139" s="192">
        <f>Dist_Uroad_SQ_CR*'Regional data'!E45*NB_SQ_CR</f>
        <v>0</v>
      </c>
      <c r="H139" s="142">
        <f>Dist_Proad_LQ_CR*'Regional data'!C45*NB_LQ_CR</f>
        <v>0</v>
      </c>
      <c r="I139" s="142">
        <f>Dist_Proad_MQ_CR*'Regional data'!D45*NB_MQ_CR</f>
        <v>0</v>
      </c>
      <c r="J139" s="134">
        <f>Dist_Proad_SQ_CR*'Regional data'!E45*NB_SQ_CR</f>
        <v>0</v>
      </c>
      <c r="K139" s="141">
        <f>Dist_Uroad_LQ_SG*'Regional data'!I45*NB_LQ_SG</f>
        <v>0</v>
      </c>
      <c r="L139" s="142">
        <f>Dist_Uroad_MQ_SG*'Regional data'!J45*NB_MQ_SG</f>
        <v>0</v>
      </c>
      <c r="M139" s="142">
        <f>Dist_Uroad_SQ_SG*'Regional data'!K45*NB_SQ_SG</f>
        <v>0</v>
      </c>
      <c r="N139" s="191">
        <f>Dist_Proad_LQ_SG*'Regional data'!I45*NB_LQ_SG</f>
        <v>0</v>
      </c>
      <c r="O139" s="142">
        <f>Dist_Proad_MQ_SG*'Regional data'!J45*NB_MQ_SG</f>
        <v>0</v>
      </c>
      <c r="P139" s="134">
        <f>Dist_Proad_SQ_SG*'Regional data'!K45*NB_SQ_SG</f>
        <v>0</v>
      </c>
    </row>
    <row r="140" spans="2:16" x14ac:dyDescent="0.25">
      <c r="B140" s="69" t="str">
        <f>IF('Regional data'!B46="","-",'Regional data'!B46)</f>
        <v>-</v>
      </c>
      <c r="C140" s="247">
        <f>1-'Regional data'!V46/365</f>
        <v>1</v>
      </c>
      <c r="D140" s="247">
        <f>1-'Regional data'!V46/(4*365)</f>
        <v>1</v>
      </c>
      <c r="E140" s="141">
        <f>Dist_Uroad_LQ_CR*'Regional data'!C46*NB_LQ_CR</f>
        <v>0</v>
      </c>
      <c r="F140" s="142">
        <f>Dist_Uroad_MQ_CR*'Regional data'!D46*NB_MQ_CR</f>
        <v>0</v>
      </c>
      <c r="G140" s="192">
        <f>Dist_Uroad_SQ_CR*'Regional data'!E46*NB_SQ_CR</f>
        <v>0</v>
      </c>
      <c r="H140" s="142">
        <f>Dist_Proad_LQ_CR*'Regional data'!C46*NB_LQ_CR</f>
        <v>0</v>
      </c>
      <c r="I140" s="142">
        <f>Dist_Proad_MQ_CR*'Regional data'!D46*NB_MQ_CR</f>
        <v>0</v>
      </c>
      <c r="J140" s="134">
        <f>Dist_Proad_SQ_CR*'Regional data'!E46*NB_SQ_CR</f>
        <v>0</v>
      </c>
      <c r="K140" s="141">
        <f>Dist_Uroad_LQ_SG*'Regional data'!I46*NB_LQ_SG</f>
        <v>0</v>
      </c>
      <c r="L140" s="142">
        <f>Dist_Uroad_MQ_SG*'Regional data'!J46*NB_MQ_SG</f>
        <v>0</v>
      </c>
      <c r="M140" s="142">
        <f>Dist_Uroad_SQ_SG*'Regional data'!K46*NB_SQ_SG</f>
        <v>0</v>
      </c>
      <c r="N140" s="191">
        <f>Dist_Proad_LQ_SG*'Regional data'!I46*NB_LQ_SG</f>
        <v>0</v>
      </c>
      <c r="O140" s="142">
        <f>Dist_Proad_MQ_SG*'Regional data'!J46*NB_MQ_SG</f>
        <v>0</v>
      </c>
      <c r="P140" s="134">
        <f>Dist_Proad_SQ_SG*'Regional data'!K46*NB_SQ_SG</f>
        <v>0</v>
      </c>
    </row>
    <row r="141" spans="2:16" x14ac:dyDescent="0.25">
      <c r="B141" s="69" t="str">
        <f>IF('Regional data'!B47="","-",'Regional data'!B47)</f>
        <v>-</v>
      </c>
      <c r="C141" s="247">
        <f>1-'Regional data'!V47/365</f>
        <v>1</v>
      </c>
      <c r="D141" s="247">
        <f>1-'Regional data'!V47/(4*365)</f>
        <v>1</v>
      </c>
      <c r="E141" s="141">
        <f>Dist_Uroad_LQ_CR*'Regional data'!C47*NB_LQ_CR</f>
        <v>0</v>
      </c>
      <c r="F141" s="142">
        <f>Dist_Uroad_MQ_CR*'Regional data'!D47*NB_MQ_CR</f>
        <v>0</v>
      </c>
      <c r="G141" s="192">
        <f>Dist_Uroad_SQ_CR*'Regional data'!E47*NB_SQ_CR</f>
        <v>0</v>
      </c>
      <c r="H141" s="142">
        <f>Dist_Proad_LQ_CR*'Regional data'!C47*NB_LQ_CR</f>
        <v>0</v>
      </c>
      <c r="I141" s="142">
        <f>Dist_Proad_MQ_CR*'Regional data'!D47*NB_MQ_CR</f>
        <v>0</v>
      </c>
      <c r="J141" s="134">
        <f>Dist_Proad_SQ_CR*'Regional data'!E47*NB_SQ_CR</f>
        <v>0</v>
      </c>
      <c r="K141" s="141">
        <f>Dist_Uroad_LQ_SG*'Regional data'!I47*NB_LQ_SG</f>
        <v>0</v>
      </c>
      <c r="L141" s="142">
        <f>Dist_Uroad_MQ_SG*'Regional data'!J47*NB_MQ_SG</f>
        <v>0</v>
      </c>
      <c r="M141" s="142">
        <f>Dist_Uroad_SQ_SG*'Regional data'!K47*NB_SQ_SG</f>
        <v>0</v>
      </c>
      <c r="N141" s="191">
        <f>Dist_Proad_LQ_SG*'Regional data'!I47*NB_LQ_SG</f>
        <v>0</v>
      </c>
      <c r="O141" s="142">
        <f>Dist_Proad_MQ_SG*'Regional data'!J47*NB_MQ_SG</f>
        <v>0</v>
      </c>
      <c r="P141" s="134">
        <f>Dist_Proad_SQ_SG*'Regional data'!K47*NB_SQ_SG</f>
        <v>0</v>
      </c>
    </row>
    <row r="142" spans="2:16" x14ac:dyDescent="0.25">
      <c r="B142" s="69" t="str">
        <f>IF('Regional data'!B48="","-",'Regional data'!B48)</f>
        <v>-</v>
      </c>
      <c r="C142" s="247">
        <f>1-'Regional data'!V48/365</f>
        <v>1</v>
      </c>
      <c r="D142" s="247">
        <f>1-'Regional data'!V48/(4*365)</f>
        <v>1</v>
      </c>
      <c r="E142" s="141">
        <f>Dist_Uroad_LQ_CR*'Regional data'!C48*NB_LQ_CR</f>
        <v>0</v>
      </c>
      <c r="F142" s="142">
        <f>Dist_Uroad_MQ_CR*'Regional data'!D48*NB_MQ_CR</f>
        <v>0</v>
      </c>
      <c r="G142" s="192">
        <f>Dist_Uroad_SQ_CR*'Regional data'!E48*NB_SQ_CR</f>
        <v>0</v>
      </c>
      <c r="H142" s="142">
        <f>Dist_Proad_LQ_CR*'Regional data'!C48*NB_LQ_CR</f>
        <v>0</v>
      </c>
      <c r="I142" s="142">
        <f>Dist_Proad_MQ_CR*'Regional data'!D48*NB_MQ_CR</f>
        <v>0</v>
      </c>
      <c r="J142" s="134">
        <f>Dist_Proad_SQ_CR*'Regional data'!E48*NB_SQ_CR</f>
        <v>0</v>
      </c>
      <c r="K142" s="141">
        <f>Dist_Uroad_LQ_SG*'Regional data'!I48*NB_LQ_SG</f>
        <v>0</v>
      </c>
      <c r="L142" s="142">
        <f>Dist_Uroad_MQ_SG*'Regional data'!J48*NB_MQ_SG</f>
        <v>0</v>
      </c>
      <c r="M142" s="142">
        <f>Dist_Uroad_SQ_SG*'Regional data'!K48*NB_SQ_SG</f>
        <v>0</v>
      </c>
      <c r="N142" s="191">
        <f>Dist_Proad_LQ_SG*'Regional data'!I48*NB_LQ_SG</f>
        <v>0</v>
      </c>
      <c r="O142" s="142">
        <f>Dist_Proad_MQ_SG*'Regional data'!J48*NB_MQ_SG</f>
        <v>0</v>
      </c>
      <c r="P142" s="134">
        <f>Dist_Proad_SQ_SG*'Regional data'!K48*NB_SQ_SG</f>
        <v>0</v>
      </c>
    </row>
    <row r="143" spans="2:16" x14ac:dyDescent="0.25">
      <c r="B143" s="69" t="str">
        <f>IF('Regional data'!B49="","-",'Regional data'!B49)</f>
        <v>-</v>
      </c>
      <c r="C143" s="247">
        <f>1-'Regional data'!V49/365</f>
        <v>1</v>
      </c>
      <c r="D143" s="247">
        <f>1-'Regional data'!V49/(4*365)</f>
        <v>1</v>
      </c>
      <c r="E143" s="141">
        <f>Dist_Uroad_LQ_CR*'Regional data'!C49*NB_LQ_CR</f>
        <v>0</v>
      </c>
      <c r="F143" s="142">
        <f>Dist_Uroad_MQ_CR*'Regional data'!D49*NB_MQ_CR</f>
        <v>0</v>
      </c>
      <c r="G143" s="192">
        <f>Dist_Uroad_SQ_CR*'Regional data'!E49*NB_SQ_CR</f>
        <v>0</v>
      </c>
      <c r="H143" s="142">
        <f>Dist_Proad_LQ_CR*'Regional data'!C49*NB_LQ_CR</f>
        <v>0</v>
      </c>
      <c r="I143" s="142">
        <f>Dist_Proad_MQ_CR*'Regional data'!D49*NB_MQ_CR</f>
        <v>0</v>
      </c>
      <c r="J143" s="134">
        <f>Dist_Proad_SQ_CR*'Regional data'!E49*NB_SQ_CR</f>
        <v>0</v>
      </c>
      <c r="K143" s="141">
        <f>Dist_Uroad_LQ_SG*'Regional data'!I49*NB_LQ_SG</f>
        <v>0</v>
      </c>
      <c r="L143" s="142">
        <f>Dist_Uroad_MQ_SG*'Regional data'!J49*NB_MQ_SG</f>
        <v>0</v>
      </c>
      <c r="M143" s="142">
        <f>Dist_Uroad_SQ_SG*'Regional data'!K49*NB_SQ_SG</f>
        <v>0</v>
      </c>
      <c r="N143" s="191">
        <f>Dist_Proad_LQ_SG*'Regional data'!I49*NB_LQ_SG</f>
        <v>0</v>
      </c>
      <c r="O143" s="142">
        <f>Dist_Proad_MQ_SG*'Regional data'!J49*NB_MQ_SG</f>
        <v>0</v>
      </c>
      <c r="P143" s="134">
        <f>Dist_Proad_SQ_SG*'Regional data'!K49*NB_SQ_SG</f>
        <v>0</v>
      </c>
    </row>
    <row r="144" spans="2:16" x14ac:dyDescent="0.25">
      <c r="B144" s="69" t="str">
        <f>IF('Regional data'!B50="","-",'Regional data'!B50)</f>
        <v>-</v>
      </c>
      <c r="C144" s="247">
        <f>1-'Regional data'!V50/365</f>
        <v>1</v>
      </c>
      <c r="D144" s="247">
        <f>1-'Regional data'!V50/(4*365)</f>
        <v>1</v>
      </c>
      <c r="E144" s="141">
        <f>Dist_Uroad_LQ_CR*'Regional data'!C50*NB_LQ_CR</f>
        <v>0</v>
      </c>
      <c r="F144" s="142">
        <f>Dist_Uroad_MQ_CR*'Regional data'!D50*NB_MQ_CR</f>
        <v>0</v>
      </c>
      <c r="G144" s="192">
        <f>Dist_Uroad_SQ_CR*'Regional data'!E50*NB_SQ_CR</f>
        <v>0</v>
      </c>
      <c r="H144" s="142">
        <f>Dist_Proad_LQ_CR*'Regional data'!C50*NB_LQ_CR</f>
        <v>0</v>
      </c>
      <c r="I144" s="142">
        <f>Dist_Proad_MQ_CR*'Regional data'!D50*NB_MQ_CR</f>
        <v>0</v>
      </c>
      <c r="J144" s="134">
        <f>Dist_Proad_SQ_CR*'Regional data'!E50*NB_SQ_CR</f>
        <v>0</v>
      </c>
      <c r="K144" s="141">
        <f>Dist_Uroad_LQ_SG*'Regional data'!I50*NB_LQ_SG</f>
        <v>0</v>
      </c>
      <c r="L144" s="142">
        <f>Dist_Uroad_MQ_SG*'Regional data'!J50*NB_MQ_SG</f>
        <v>0</v>
      </c>
      <c r="M144" s="142">
        <f>Dist_Uroad_SQ_SG*'Regional data'!K50*NB_SQ_SG</f>
        <v>0</v>
      </c>
      <c r="N144" s="191">
        <f>Dist_Proad_LQ_SG*'Regional data'!I50*NB_LQ_SG</f>
        <v>0</v>
      </c>
      <c r="O144" s="142">
        <f>Dist_Proad_MQ_SG*'Regional data'!J50*NB_MQ_SG</f>
        <v>0</v>
      </c>
      <c r="P144" s="134">
        <f>Dist_Proad_SQ_SG*'Regional data'!K50*NB_SQ_SG</f>
        <v>0</v>
      </c>
    </row>
    <row r="145" spans="2:16" x14ac:dyDescent="0.25">
      <c r="B145" s="69" t="str">
        <f>IF('Regional data'!B51="","-",'Regional data'!B51)</f>
        <v>-</v>
      </c>
      <c r="C145" s="247">
        <f>1-'Regional data'!V51/365</f>
        <v>1</v>
      </c>
      <c r="D145" s="247">
        <f>1-'Regional data'!V51/(4*365)</f>
        <v>1</v>
      </c>
      <c r="E145" s="141">
        <f>Dist_Uroad_LQ_CR*'Regional data'!C51*NB_LQ_CR</f>
        <v>0</v>
      </c>
      <c r="F145" s="142">
        <f>Dist_Uroad_MQ_CR*'Regional data'!D51*NB_MQ_CR</f>
        <v>0</v>
      </c>
      <c r="G145" s="192">
        <f>Dist_Uroad_SQ_CR*'Regional data'!E51*NB_SQ_CR</f>
        <v>0</v>
      </c>
      <c r="H145" s="142">
        <f>Dist_Proad_LQ_CR*'Regional data'!C51*NB_LQ_CR</f>
        <v>0</v>
      </c>
      <c r="I145" s="142">
        <f>Dist_Proad_MQ_CR*'Regional data'!D51*NB_MQ_CR</f>
        <v>0</v>
      </c>
      <c r="J145" s="134">
        <f>Dist_Proad_SQ_CR*'Regional data'!E51*NB_SQ_CR</f>
        <v>0</v>
      </c>
      <c r="K145" s="141">
        <f>Dist_Uroad_LQ_SG*'Regional data'!I51*NB_LQ_SG</f>
        <v>0</v>
      </c>
      <c r="L145" s="142">
        <f>Dist_Uroad_MQ_SG*'Regional data'!J51*NB_MQ_SG</f>
        <v>0</v>
      </c>
      <c r="M145" s="142">
        <f>Dist_Uroad_SQ_SG*'Regional data'!K51*NB_SQ_SG</f>
        <v>0</v>
      </c>
      <c r="N145" s="191">
        <f>Dist_Proad_LQ_SG*'Regional data'!I51*NB_LQ_SG</f>
        <v>0</v>
      </c>
      <c r="O145" s="142">
        <f>Dist_Proad_MQ_SG*'Regional data'!J51*NB_MQ_SG</f>
        <v>0</v>
      </c>
      <c r="P145" s="134">
        <f>Dist_Proad_SQ_SG*'Regional data'!K51*NB_SQ_SG</f>
        <v>0</v>
      </c>
    </row>
    <row r="146" spans="2:16" x14ac:dyDescent="0.25">
      <c r="B146" s="69" t="str">
        <f>IF('Regional data'!B52="","-",'Regional data'!B52)</f>
        <v>-</v>
      </c>
      <c r="C146" s="247">
        <f>1-'Regional data'!V52/365</f>
        <v>1</v>
      </c>
      <c r="D146" s="247">
        <f>1-'Regional data'!V52/(4*365)</f>
        <v>1</v>
      </c>
      <c r="E146" s="141">
        <f>Dist_Uroad_LQ_CR*'Regional data'!C52*NB_LQ_CR</f>
        <v>0</v>
      </c>
      <c r="F146" s="142">
        <f>Dist_Uroad_MQ_CR*'Regional data'!D52*NB_MQ_CR</f>
        <v>0</v>
      </c>
      <c r="G146" s="192">
        <f>Dist_Uroad_SQ_CR*'Regional data'!E52*NB_SQ_CR</f>
        <v>0</v>
      </c>
      <c r="H146" s="142">
        <f>Dist_Proad_LQ_CR*'Regional data'!C52*NB_LQ_CR</f>
        <v>0</v>
      </c>
      <c r="I146" s="142">
        <f>Dist_Proad_MQ_CR*'Regional data'!D52*NB_MQ_CR</f>
        <v>0</v>
      </c>
      <c r="J146" s="134">
        <f>Dist_Proad_SQ_CR*'Regional data'!E52*NB_SQ_CR</f>
        <v>0</v>
      </c>
      <c r="K146" s="141">
        <f>Dist_Uroad_LQ_SG*'Regional data'!I52*NB_LQ_SG</f>
        <v>0</v>
      </c>
      <c r="L146" s="142">
        <f>Dist_Uroad_MQ_SG*'Regional data'!J52*NB_MQ_SG</f>
        <v>0</v>
      </c>
      <c r="M146" s="142">
        <f>Dist_Uroad_SQ_SG*'Regional data'!K52*NB_SQ_SG</f>
        <v>0</v>
      </c>
      <c r="N146" s="191">
        <f>Dist_Proad_LQ_SG*'Regional data'!I52*NB_LQ_SG</f>
        <v>0</v>
      </c>
      <c r="O146" s="142">
        <f>Dist_Proad_MQ_SG*'Regional data'!J52*NB_MQ_SG</f>
        <v>0</v>
      </c>
      <c r="P146" s="134">
        <f>Dist_Proad_SQ_SG*'Regional data'!K52*NB_SQ_SG</f>
        <v>0</v>
      </c>
    </row>
    <row r="147" spans="2:16" x14ac:dyDescent="0.25">
      <c r="B147" s="69" t="str">
        <f>IF('Regional data'!B53="","-",'Regional data'!B53)</f>
        <v>-</v>
      </c>
      <c r="C147" s="247">
        <f>1-'Regional data'!V53/365</f>
        <v>1</v>
      </c>
      <c r="D147" s="247">
        <f>1-'Regional data'!V53/(4*365)</f>
        <v>1</v>
      </c>
      <c r="E147" s="141">
        <f>Dist_Uroad_LQ_CR*'Regional data'!C53*NB_LQ_CR</f>
        <v>0</v>
      </c>
      <c r="F147" s="142">
        <f>Dist_Uroad_MQ_CR*'Regional data'!D53*NB_MQ_CR</f>
        <v>0</v>
      </c>
      <c r="G147" s="192">
        <f>Dist_Uroad_SQ_CR*'Regional data'!E53*NB_SQ_CR</f>
        <v>0</v>
      </c>
      <c r="H147" s="142">
        <f>Dist_Proad_LQ_CR*'Regional data'!C53*NB_LQ_CR</f>
        <v>0</v>
      </c>
      <c r="I147" s="142">
        <f>Dist_Proad_MQ_CR*'Regional data'!D53*NB_MQ_CR</f>
        <v>0</v>
      </c>
      <c r="J147" s="134">
        <f>Dist_Proad_SQ_CR*'Regional data'!E53*NB_SQ_CR</f>
        <v>0</v>
      </c>
      <c r="K147" s="141">
        <f>Dist_Uroad_LQ_SG*'Regional data'!I53*NB_LQ_SG</f>
        <v>0</v>
      </c>
      <c r="L147" s="142">
        <f>Dist_Uroad_MQ_SG*'Regional data'!J53*NB_MQ_SG</f>
        <v>0</v>
      </c>
      <c r="M147" s="142">
        <f>Dist_Uroad_SQ_SG*'Regional data'!K53*NB_SQ_SG</f>
        <v>0</v>
      </c>
      <c r="N147" s="191">
        <f>Dist_Proad_LQ_SG*'Regional data'!I53*NB_LQ_SG</f>
        <v>0</v>
      </c>
      <c r="O147" s="142">
        <f>Dist_Proad_MQ_SG*'Regional data'!J53*NB_MQ_SG</f>
        <v>0</v>
      </c>
      <c r="P147" s="134">
        <f>Dist_Proad_SQ_SG*'Regional data'!K53*NB_SQ_SG</f>
        <v>0</v>
      </c>
    </row>
    <row r="148" spans="2:16" x14ac:dyDescent="0.25">
      <c r="B148" s="69" t="str">
        <f>IF('Regional data'!B54="","-",'Regional data'!B54)</f>
        <v>-</v>
      </c>
      <c r="C148" s="247">
        <f>1-'Regional data'!V54/365</f>
        <v>1</v>
      </c>
      <c r="D148" s="247">
        <f>1-'Regional data'!V54/(4*365)</f>
        <v>1</v>
      </c>
      <c r="E148" s="141">
        <f>Dist_Uroad_LQ_CR*'Regional data'!C54*NB_LQ_CR</f>
        <v>0</v>
      </c>
      <c r="F148" s="142">
        <f>Dist_Uroad_MQ_CR*'Regional data'!D54*NB_MQ_CR</f>
        <v>0</v>
      </c>
      <c r="G148" s="192">
        <f>Dist_Uroad_SQ_CR*'Regional data'!E54*NB_SQ_CR</f>
        <v>0</v>
      </c>
      <c r="H148" s="142">
        <f>Dist_Proad_LQ_CR*'Regional data'!C54*NB_LQ_CR</f>
        <v>0</v>
      </c>
      <c r="I148" s="142">
        <f>Dist_Proad_MQ_CR*'Regional data'!D54*NB_MQ_CR</f>
        <v>0</v>
      </c>
      <c r="J148" s="134">
        <f>Dist_Proad_SQ_CR*'Regional data'!E54*NB_SQ_CR</f>
        <v>0</v>
      </c>
      <c r="K148" s="141">
        <f>Dist_Uroad_LQ_SG*'Regional data'!I54*NB_LQ_SG</f>
        <v>0</v>
      </c>
      <c r="L148" s="142">
        <f>Dist_Uroad_MQ_SG*'Regional data'!J54*NB_MQ_SG</f>
        <v>0</v>
      </c>
      <c r="M148" s="142">
        <f>Dist_Uroad_SQ_SG*'Regional data'!K54*NB_SQ_SG</f>
        <v>0</v>
      </c>
      <c r="N148" s="191">
        <f>Dist_Proad_LQ_SG*'Regional data'!I54*NB_LQ_SG</f>
        <v>0</v>
      </c>
      <c r="O148" s="142">
        <f>Dist_Proad_MQ_SG*'Regional data'!J54*NB_MQ_SG</f>
        <v>0</v>
      </c>
      <c r="P148" s="134">
        <f>Dist_Proad_SQ_SG*'Regional data'!K54*NB_SQ_SG</f>
        <v>0</v>
      </c>
    </row>
    <row r="149" spans="2:16" x14ac:dyDescent="0.25">
      <c r="B149" s="69" t="str">
        <f>IF('Regional data'!B55="","-",'Regional data'!B55)</f>
        <v>-</v>
      </c>
      <c r="C149" s="247">
        <f>1-'Regional data'!V55/365</f>
        <v>1</v>
      </c>
      <c r="D149" s="247">
        <f>1-'Regional data'!V55/(4*365)</f>
        <v>1</v>
      </c>
      <c r="E149" s="141">
        <f>Dist_Uroad_LQ_CR*'Regional data'!C55*NB_LQ_CR</f>
        <v>0</v>
      </c>
      <c r="F149" s="142">
        <f>Dist_Uroad_MQ_CR*'Regional data'!D55*NB_MQ_CR</f>
        <v>0</v>
      </c>
      <c r="G149" s="192">
        <f>Dist_Uroad_SQ_CR*'Regional data'!E55*NB_SQ_CR</f>
        <v>0</v>
      </c>
      <c r="H149" s="142">
        <f>Dist_Proad_LQ_CR*'Regional data'!C55*NB_LQ_CR</f>
        <v>0</v>
      </c>
      <c r="I149" s="142">
        <f>Dist_Proad_MQ_CR*'Regional data'!D55*NB_MQ_CR</f>
        <v>0</v>
      </c>
      <c r="J149" s="134">
        <f>Dist_Proad_SQ_CR*'Regional data'!E55*NB_SQ_CR</f>
        <v>0</v>
      </c>
      <c r="K149" s="141">
        <f>Dist_Uroad_LQ_SG*'Regional data'!I55*NB_LQ_SG</f>
        <v>0</v>
      </c>
      <c r="L149" s="142">
        <f>Dist_Uroad_MQ_SG*'Regional data'!J55*NB_MQ_SG</f>
        <v>0</v>
      </c>
      <c r="M149" s="142">
        <f>Dist_Uroad_SQ_SG*'Regional data'!K55*NB_SQ_SG</f>
        <v>0</v>
      </c>
      <c r="N149" s="191">
        <f>Dist_Proad_LQ_SG*'Regional data'!I55*NB_LQ_SG</f>
        <v>0</v>
      </c>
      <c r="O149" s="142">
        <f>Dist_Proad_MQ_SG*'Regional data'!J55*NB_MQ_SG</f>
        <v>0</v>
      </c>
      <c r="P149" s="134">
        <f>Dist_Proad_SQ_SG*'Regional data'!K55*NB_SQ_SG</f>
        <v>0</v>
      </c>
    </row>
    <row r="150" spans="2:16" x14ac:dyDescent="0.25">
      <c r="B150" s="69" t="str">
        <f>IF('Regional data'!B56="","-",'Regional data'!B56)</f>
        <v>-</v>
      </c>
      <c r="C150" s="247">
        <f>1-'Regional data'!V56/365</f>
        <v>1</v>
      </c>
      <c r="D150" s="247">
        <f>1-'Regional data'!V56/(4*365)</f>
        <v>1</v>
      </c>
      <c r="E150" s="141">
        <f>Dist_Uroad_LQ_CR*'Regional data'!C56*NB_LQ_CR</f>
        <v>0</v>
      </c>
      <c r="F150" s="142">
        <f>Dist_Uroad_MQ_CR*'Regional data'!D56*NB_MQ_CR</f>
        <v>0</v>
      </c>
      <c r="G150" s="192">
        <f>Dist_Uroad_SQ_CR*'Regional data'!E56*NB_SQ_CR</f>
        <v>0</v>
      </c>
      <c r="H150" s="142">
        <f>Dist_Proad_LQ_CR*'Regional data'!C56*NB_LQ_CR</f>
        <v>0</v>
      </c>
      <c r="I150" s="142">
        <f>Dist_Proad_MQ_CR*'Regional data'!D56*NB_MQ_CR</f>
        <v>0</v>
      </c>
      <c r="J150" s="134">
        <f>Dist_Proad_SQ_CR*'Regional data'!E56*NB_SQ_CR</f>
        <v>0</v>
      </c>
      <c r="K150" s="141">
        <f>Dist_Uroad_LQ_SG*'Regional data'!I56*NB_LQ_SG</f>
        <v>0</v>
      </c>
      <c r="L150" s="142">
        <f>Dist_Uroad_MQ_SG*'Regional data'!J56*NB_MQ_SG</f>
        <v>0</v>
      </c>
      <c r="M150" s="142">
        <f>Dist_Uroad_SQ_SG*'Regional data'!K56*NB_SQ_SG</f>
        <v>0</v>
      </c>
      <c r="N150" s="191">
        <f>Dist_Proad_LQ_SG*'Regional data'!I56*NB_LQ_SG</f>
        <v>0</v>
      </c>
      <c r="O150" s="142">
        <f>Dist_Proad_MQ_SG*'Regional data'!J56*NB_MQ_SG</f>
        <v>0</v>
      </c>
      <c r="P150" s="134">
        <f>Dist_Proad_SQ_SG*'Regional data'!K56*NB_SQ_SG</f>
        <v>0</v>
      </c>
    </row>
    <row r="151" spans="2:16" x14ac:dyDescent="0.25">
      <c r="B151" s="69" t="str">
        <f>IF('Regional data'!B57="","-",'Regional data'!B57)</f>
        <v>-</v>
      </c>
      <c r="C151" s="247">
        <f>1-'Regional data'!V57/365</f>
        <v>1</v>
      </c>
      <c r="D151" s="247">
        <f>1-'Regional data'!V57/(4*365)</f>
        <v>1</v>
      </c>
      <c r="E151" s="141">
        <f>Dist_Uroad_LQ_CR*'Regional data'!C57*NB_LQ_CR</f>
        <v>0</v>
      </c>
      <c r="F151" s="142">
        <f>Dist_Uroad_MQ_CR*'Regional data'!D57*NB_MQ_CR</f>
        <v>0</v>
      </c>
      <c r="G151" s="192">
        <f>Dist_Uroad_SQ_CR*'Regional data'!E57*NB_SQ_CR</f>
        <v>0</v>
      </c>
      <c r="H151" s="142">
        <f>Dist_Proad_LQ_CR*'Regional data'!C57*NB_LQ_CR</f>
        <v>0</v>
      </c>
      <c r="I151" s="142">
        <f>Dist_Proad_MQ_CR*'Regional data'!D57*NB_MQ_CR</f>
        <v>0</v>
      </c>
      <c r="J151" s="134">
        <f>Dist_Proad_SQ_CR*'Regional data'!E57*NB_SQ_CR</f>
        <v>0</v>
      </c>
      <c r="K151" s="141">
        <f>Dist_Uroad_LQ_SG*'Regional data'!I57*NB_LQ_SG</f>
        <v>0</v>
      </c>
      <c r="L151" s="142">
        <f>Dist_Uroad_MQ_SG*'Regional data'!J57*NB_MQ_SG</f>
        <v>0</v>
      </c>
      <c r="M151" s="142">
        <f>Dist_Uroad_SQ_SG*'Regional data'!K57*NB_SQ_SG</f>
        <v>0</v>
      </c>
      <c r="N151" s="191">
        <f>Dist_Proad_LQ_SG*'Regional data'!I57*NB_LQ_SG</f>
        <v>0</v>
      </c>
      <c r="O151" s="142">
        <f>Dist_Proad_MQ_SG*'Regional data'!J57*NB_MQ_SG</f>
        <v>0</v>
      </c>
      <c r="P151" s="134">
        <f>Dist_Proad_SQ_SG*'Regional data'!K57*NB_SQ_SG</f>
        <v>0</v>
      </c>
    </row>
    <row r="152" spans="2:16" x14ac:dyDescent="0.25">
      <c r="B152" s="69" t="str">
        <f>IF('Regional data'!B58="","-",'Regional data'!B58)</f>
        <v>-</v>
      </c>
      <c r="C152" s="247">
        <f>1-'Regional data'!V58/365</f>
        <v>1</v>
      </c>
      <c r="D152" s="247">
        <f>1-'Regional data'!V58/(4*365)</f>
        <v>1</v>
      </c>
      <c r="E152" s="141">
        <f>Dist_Uroad_LQ_CR*'Regional data'!C58*NB_LQ_CR</f>
        <v>0</v>
      </c>
      <c r="F152" s="142">
        <f>Dist_Uroad_MQ_CR*'Regional data'!D58*NB_MQ_CR</f>
        <v>0</v>
      </c>
      <c r="G152" s="192">
        <f>Dist_Uroad_SQ_CR*'Regional data'!E58*NB_SQ_CR</f>
        <v>0</v>
      </c>
      <c r="H152" s="142">
        <f>Dist_Proad_LQ_CR*'Regional data'!C58*NB_LQ_CR</f>
        <v>0</v>
      </c>
      <c r="I152" s="142">
        <f>Dist_Proad_MQ_CR*'Regional data'!D58*NB_MQ_CR</f>
        <v>0</v>
      </c>
      <c r="J152" s="134">
        <f>Dist_Proad_SQ_CR*'Regional data'!E58*NB_SQ_CR</f>
        <v>0</v>
      </c>
      <c r="K152" s="141">
        <f>Dist_Uroad_LQ_SG*'Regional data'!I58*NB_LQ_SG</f>
        <v>0</v>
      </c>
      <c r="L152" s="142">
        <f>Dist_Uroad_MQ_SG*'Regional data'!J58*NB_MQ_SG</f>
        <v>0</v>
      </c>
      <c r="M152" s="142">
        <f>Dist_Uroad_SQ_SG*'Regional data'!K58*NB_SQ_SG</f>
        <v>0</v>
      </c>
      <c r="N152" s="191">
        <f>Dist_Proad_LQ_SG*'Regional data'!I58*NB_LQ_SG</f>
        <v>0</v>
      </c>
      <c r="O152" s="142">
        <f>Dist_Proad_MQ_SG*'Regional data'!J58*NB_MQ_SG</f>
        <v>0</v>
      </c>
      <c r="P152" s="134">
        <f>Dist_Proad_SQ_SG*'Regional data'!K58*NB_SQ_SG</f>
        <v>0</v>
      </c>
    </row>
    <row r="153" spans="2:16" x14ac:dyDescent="0.25">
      <c r="B153" s="69" t="str">
        <f>IF('Regional data'!B59="","-",'Regional data'!B59)</f>
        <v>-</v>
      </c>
      <c r="C153" s="247">
        <f>1-'Regional data'!V59/365</f>
        <v>1</v>
      </c>
      <c r="D153" s="247">
        <f>1-'Regional data'!V59/(4*365)</f>
        <v>1</v>
      </c>
      <c r="E153" s="141">
        <f>Dist_Uroad_LQ_CR*'Regional data'!C59*NB_LQ_CR</f>
        <v>0</v>
      </c>
      <c r="F153" s="142">
        <f>Dist_Uroad_MQ_CR*'Regional data'!D59*NB_MQ_CR</f>
        <v>0</v>
      </c>
      <c r="G153" s="192">
        <f>Dist_Uroad_SQ_CR*'Regional data'!E59*NB_SQ_CR</f>
        <v>0</v>
      </c>
      <c r="H153" s="142">
        <f>Dist_Proad_LQ_CR*'Regional data'!C59*NB_LQ_CR</f>
        <v>0</v>
      </c>
      <c r="I153" s="142">
        <f>Dist_Proad_MQ_CR*'Regional data'!D59*NB_MQ_CR</f>
        <v>0</v>
      </c>
      <c r="J153" s="134">
        <f>Dist_Proad_SQ_CR*'Regional data'!E59*NB_SQ_CR</f>
        <v>0</v>
      </c>
      <c r="K153" s="141">
        <f>Dist_Uroad_LQ_SG*'Regional data'!I59*NB_LQ_SG</f>
        <v>0</v>
      </c>
      <c r="L153" s="142">
        <f>Dist_Uroad_MQ_SG*'Regional data'!J59*NB_MQ_SG</f>
        <v>0</v>
      </c>
      <c r="M153" s="142">
        <f>Dist_Uroad_SQ_SG*'Regional data'!K59*NB_SQ_SG</f>
        <v>0</v>
      </c>
      <c r="N153" s="191">
        <f>Dist_Proad_LQ_SG*'Regional data'!I59*NB_LQ_SG</f>
        <v>0</v>
      </c>
      <c r="O153" s="142">
        <f>Dist_Proad_MQ_SG*'Regional data'!J59*NB_MQ_SG</f>
        <v>0</v>
      </c>
      <c r="P153" s="134">
        <f>Dist_Proad_SQ_SG*'Regional data'!K59*NB_SQ_SG</f>
        <v>0</v>
      </c>
    </row>
    <row r="154" spans="2:16" x14ac:dyDescent="0.25">
      <c r="B154" s="69" t="str">
        <f>IF('Regional data'!B60="","-",'Regional data'!B60)</f>
        <v>-</v>
      </c>
      <c r="C154" s="247">
        <f>1-'Regional data'!V60/365</f>
        <v>1</v>
      </c>
      <c r="D154" s="247">
        <f>1-'Regional data'!V60/(4*365)</f>
        <v>1</v>
      </c>
      <c r="E154" s="141">
        <f>Dist_Uroad_LQ_CR*'Regional data'!C60*NB_LQ_CR</f>
        <v>0</v>
      </c>
      <c r="F154" s="142">
        <f>Dist_Uroad_MQ_CR*'Regional data'!D60*NB_MQ_CR</f>
        <v>0</v>
      </c>
      <c r="G154" s="192">
        <f>Dist_Uroad_SQ_CR*'Regional data'!E60*NB_SQ_CR</f>
        <v>0</v>
      </c>
      <c r="H154" s="142">
        <f>Dist_Proad_LQ_CR*'Regional data'!C60*NB_LQ_CR</f>
        <v>0</v>
      </c>
      <c r="I154" s="142">
        <f>Dist_Proad_MQ_CR*'Regional data'!D60*NB_MQ_CR</f>
        <v>0</v>
      </c>
      <c r="J154" s="134">
        <f>Dist_Proad_SQ_CR*'Regional data'!E60*NB_SQ_CR</f>
        <v>0</v>
      </c>
      <c r="K154" s="141">
        <f>Dist_Uroad_LQ_SG*'Regional data'!I60*NB_LQ_SG</f>
        <v>0</v>
      </c>
      <c r="L154" s="142">
        <f>Dist_Uroad_MQ_SG*'Regional data'!J60*NB_MQ_SG</f>
        <v>0</v>
      </c>
      <c r="M154" s="142">
        <f>Dist_Uroad_SQ_SG*'Regional data'!K60*NB_SQ_SG</f>
        <v>0</v>
      </c>
      <c r="N154" s="191">
        <f>Dist_Proad_LQ_SG*'Regional data'!I60*NB_LQ_SG</f>
        <v>0</v>
      </c>
      <c r="O154" s="142">
        <f>Dist_Proad_MQ_SG*'Regional data'!J60*NB_MQ_SG</f>
        <v>0</v>
      </c>
      <c r="P154" s="134">
        <f>Dist_Proad_SQ_SG*'Regional data'!K60*NB_SQ_SG</f>
        <v>0</v>
      </c>
    </row>
    <row r="155" spans="2:16" x14ac:dyDescent="0.25">
      <c r="B155" s="69" t="str">
        <f>IF('Regional data'!B61="","-",'Regional data'!B61)</f>
        <v>-</v>
      </c>
      <c r="C155" s="247">
        <f>1-'Regional data'!V61/365</f>
        <v>1</v>
      </c>
      <c r="D155" s="247">
        <f>1-'Regional data'!V61/(4*365)</f>
        <v>1</v>
      </c>
      <c r="E155" s="141">
        <f>Dist_Uroad_LQ_CR*'Regional data'!C61*NB_LQ_CR</f>
        <v>0</v>
      </c>
      <c r="F155" s="142">
        <f>Dist_Uroad_MQ_CR*'Regional data'!D61*NB_MQ_CR</f>
        <v>0</v>
      </c>
      <c r="G155" s="192">
        <f>Dist_Uroad_SQ_CR*'Regional data'!E61*NB_SQ_CR</f>
        <v>0</v>
      </c>
      <c r="H155" s="142">
        <f>Dist_Proad_LQ_CR*'Regional data'!C61*NB_LQ_CR</f>
        <v>0</v>
      </c>
      <c r="I155" s="142">
        <f>Dist_Proad_MQ_CR*'Regional data'!D61*NB_MQ_CR</f>
        <v>0</v>
      </c>
      <c r="J155" s="134">
        <f>Dist_Proad_SQ_CR*'Regional data'!E61*NB_SQ_CR</f>
        <v>0</v>
      </c>
      <c r="K155" s="141">
        <f>Dist_Uroad_LQ_SG*'Regional data'!I61*NB_LQ_SG</f>
        <v>0</v>
      </c>
      <c r="L155" s="142">
        <f>Dist_Uroad_MQ_SG*'Regional data'!J61*NB_MQ_SG</f>
        <v>0</v>
      </c>
      <c r="M155" s="142">
        <f>Dist_Uroad_SQ_SG*'Regional data'!K61*NB_SQ_SG</f>
        <v>0</v>
      </c>
      <c r="N155" s="191">
        <f>Dist_Proad_LQ_SG*'Regional data'!I61*NB_LQ_SG</f>
        <v>0</v>
      </c>
      <c r="O155" s="142">
        <f>Dist_Proad_MQ_SG*'Regional data'!J61*NB_MQ_SG</f>
        <v>0</v>
      </c>
      <c r="P155" s="134">
        <f>Dist_Proad_SQ_SG*'Regional data'!K61*NB_SQ_SG</f>
        <v>0</v>
      </c>
    </row>
    <row r="156" spans="2:16" x14ac:dyDescent="0.25">
      <c r="B156" s="69" t="str">
        <f>IF('Regional data'!B62="","-",'Regional data'!B62)</f>
        <v>-</v>
      </c>
      <c r="C156" s="247">
        <f>1-'Regional data'!V62/365</f>
        <v>1</v>
      </c>
      <c r="D156" s="247">
        <f>1-'Regional data'!V62/(4*365)</f>
        <v>1</v>
      </c>
      <c r="E156" s="141">
        <f>Dist_Uroad_LQ_CR*'Regional data'!C62*NB_LQ_CR</f>
        <v>0</v>
      </c>
      <c r="F156" s="142">
        <f>Dist_Uroad_MQ_CR*'Regional data'!D62*NB_MQ_CR</f>
        <v>0</v>
      </c>
      <c r="G156" s="192">
        <f>Dist_Uroad_SQ_CR*'Regional data'!E62*NB_SQ_CR</f>
        <v>0</v>
      </c>
      <c r="H156" s="142">
        <f>Dist_Proad_LQ_CR*'Regional data'!C62*NB_LQ_CR</f>
        <v>0</v>
      </c>
      <c r="I156" s="142">
        <f>Dist_Proad_MQ_CR*'Regional data'!D62*NB_MQ_CR</f>
        <v>0</v>
      </c>
      <c r="J156" s="134">
        <f>Dist_Proad_SQ_CR*'Regional data'!E62*NB_SQ_CR</f>
        <v>0</v>
      </c>
      <c r="K156" s="141">
        <f>Dist_Uroad_LQ_SG*'Regional data'!I62*NB_LQ_SG</f>
        <v>0</v>
      </c>
      <c r="L156" s="142">
        <f>Dist_Uroad_MQ_SG*'Regional data'!J62*NB_MQ_SG</f>
        <v>0</v>
      </c>
      <c r="M156" s="142">
        <f>Dist_Uroad_SQ_SG*'Regional data'!K62*NB_SQ_SG</f>
        <v>0</v>
      </c>
      <c r="N156" s="191">
        <f>Dist_Proad_LQ_SG*'Regional data'!I62*NB_LQ_SG</f>
        <v>0</v>
      </c>
      <c r="O156" s="142">
        <f>Dist_Proad_MQ_SG*'Regional data'!J62*NB_MQ_SG</f>
        <v>0</v>
      </c>
      <c r="P156" s="134">
        <f>Dist_Proad_SQ_SG*'Regional data'!K62*NB_SQ_SG</f>
        <v>0</v>
      </c>
    </row>
    <row r="157" spans="2:16" x14ac:dyDescent="0.25">
      <c r="B157" s="69" t="str">
        <f>IF('Regional data'!B63="","-",'Regional data'!B63)</f>
        <v>-</v>
      </c>
      <c r="C157" s="247">
        <f>1-'Regional data'!V63/365</f>
        <v>1</v>
      </c>
      <c r="D157" s="247">
        <f>1-'Regional data'!V63/(4*365)</f>
        <v>1</v>
      </c>
      <c r="E157" s="141">
        <f>Dist_Uroad_LQ_CR*'Regional data'!C63*NB_LQ_CR</f>
        <v>0</v>
      </c>
      <c r="F157" s="142">
        <f>Dist_Uroad_MQ_CR*'Regional data'!D63*NB_MQ_CR</f>
        <v>0</v>
      </c>
      <c r="G157" s="192">
        <f>Dist_Uroad_SQ_CR*'Regional data'!E63*NB_SQ_CR</f>
        <v>0</v>
      </c>
      <c r="H157" s="142">
        <f>Dist_Proad_LQ_CR*'Regional data'!C63*NB_LQ_CR</f>
        <v>0</v>
      </c>
      <c r="I157" s="142">
        <f>Dist_Proad_MQ_CR*'Regional data'!D63*NB_MQ_CR</f>
        <v>0</v>
      </c>
      <c r="J157" s="134">
        <f>Dist_Proad_SQ_CR*'Regional data'!E63*NB_SQ_CR</f>
        <v>0</v>
      </c>
      <c r="K157" s="141">
        <f>Dist_Uroad_LQ_SG*'Regional data'!I63*NB_LQ_SG</f>
        <v>0</v>
      </c>
      <c r="L157" s="142">
        <f>Dist_Uroad_MQ_SG*'Regional data'!J63*NB_MQ_SG</f>
        <v>0</v>
      </c>
      <c r="M157" s="142">
        <f>Dist_Uroad_SQ_SG*'Regional data'!K63*NB_SQ_SG</f>
        <v>0</v>
      </c>
      <c r="N157" s="191">
        <f>Dist_Proad_LQ_SG*'Regional data'!I63*NB_LQ_SG</f>
        <v>0</v>
      </c>
      <c r="O157" s="142">
        <f>Dist_Proad_MQ_SG*'Regional data'!J63*NB_MQ_SG</f>
        <v>0</v>
      </c>
      <c r="P157" s="134">
        <f>Dist_Proad_SQ_SG*'Regional data'!K63*NB_SQ_SG</f>
        <v>0</v>
      </c>
    </row>
    <row r="158" spans="2:16" x14ac:dyDescent="0.25">
      <c r="B158" s="69" t="str">
        <f>IF('Regional data'!B64="","-",'Regional data'!B64)</f>
        <v>-</v>
      </c>
      <c r="C158" s="247">
        <f>1-'Regional data'!V64/365</f>
        <v>1</v>
      </c>
      <c r="D158" s="247">
        <f>1-'Regional data'!V64/(4*365)</f>
        <v>1</v>
      </c>
      <c r="E158" s="141">
        <f>Dist_Uroad_LQ_CR*'Regional data'!C64*NB_LQ_CR</f>
        <v>0</v>
      </c>
      <c r="F158" s="142">
        <f>Dist_Uroad_MQ_CR*'Regional data'!D64*NB_MQ_CR</f>
        <v>0</v>
      </c>
      <c r="G158" s="192">
        <f>Dist_Uroad_SQ_CR*'Regional data'!E64*NB_SQ_CR</f>
        <v>0</v>
      </c>
      <c r="H158" s="142">
        <f>Dist_Proad_LQ_CR*'Regional data'!C64*NB_LQ_CR</f>
        <v>0</v>
      </c>
      <c r="I158" s="142">
        <f>Dist_Proad_MQ_CR*'Regional data'!D64*NB_MQ_CR</f>
        <v>0</v>
      </c>
      <c r="J158" s="134">
        <f>Dist_Proad_SQ_CR*'Regional data'!E64*NB_SQ_CR</f>
        <v>0</v>
      </c>
      <c r="K158" s="141">
        <f>Dist_Uroad_LQ_SG*'Regional data'!I64*NB_LQ_SG</f>
        <v>0</v>
      </c>
      <c r="L158" s="142">
        <f>Dist_Uroad_MQ_SG*'Regional data'!J64*NB_MQ_SG</f>
        <v>0</v>
      </c>
      <c r="M158" s="142">
        <f>Dist_Uroad_SQ_SG*'Regional data'!K64*NB_SQ_SG</f>
        <v>0</v>
      </c>
      <c r="N158" s="191">
        <f>Dist_Proad_LQ_SG*'Regional data'!I64*NB_LQ_SG</f>
        <v>0</v>
      </c>
      <c r="O158" s="142">
        <f>Dist_Proad_MQ_SG*'Regional data'!J64*NB_MQ_SG</f>
        <v>0</v>
      </c>
      <c r="P158" s="134">
        <f>Dist_Proad_SQ_SG*'Regional data'!K64*NB_SQ_SG</f>
        <v>0</v>
      </c>
    </row>
    <row r="159" spans="2:16" x14ac:dyDescent="0.25">
      <c r="B159" s="69" t="str">
        <f>IF('Regional data'!B65="","-",'Regional data'!B65)</f>
        <v>-</v>
      </c>
      <c r="C159" s="247">
        <f>1-'Regional data'!V65/365</f>
        <v>1</v>
      </c>
      <c r="D159" s="247">
        <f>1-'Regional data'!V65/(4*365)</f>
        <v>1</v>
      </c>
      <c r="E159" s="141">
        <f>Dist_Uroad_LQ_CR*'Regional data'!C65*NB_LQ_CR</f>
        <v>0</v>
      </c>
      <c r="F159" s="142">
        <f>Dist_Uroad_MQ_CR*'Regional data'!D65*NB_MQ_CR</f>
        <v>0</v>
      </c>
      <c r="G159" s="192">
        <f>Dist_Uroad_SQ_CR*'Regional data'!E65*NB_SQ_CR</f>
        <v>0</v>
      </c>
      <c r="H159" s="142">
        <f>Dist_Proad_LQ_CR*'Regional data'!C65*NB_LQ_CR</f>
        <v>0</v>
      </c>
      <c r="I159" s="142">
        <f>Dist_Proad_MQ_CR*'Regional data'!D65*NB_MQ_CR</f>
        <v>0</v>
      </c>
      <c r="J159" s="134">
        <f>Dist_Proad_SQ_CR*'Regional data'!E65*NB_SQ_CR</f>
        <v>0</v>
      </c>
      <c r="K159" s="141">
        <f>Dist_Uroad_LQ_SG*'Regional data'!I65*NB_LQ_SG</f>
        <v>0</v>
      </c>
      <c r="L159" s="142">
        <f>Dist_Uroad_MQ_SG*'Regional data'!J65*NB_MQ_SG</f>
        <v>0</v>
      </c>
      <c r="M159" s="142">
        <f>Dist_Uroad_SQ_SG*'Regional data'!K65*NB_SQ_SG</f>
        <v>0</v>
      </c>
      <c r="N159" s="191">
        <f>Dist_Proad_LQ_SG*'Regional data'!I65*NB_LQ_SG</f>
        <v>0</v>
      </c>
      <c r="O159" s="142">
        <f>Dist_Proad_MQ_SG*'Regional data'!J65*NB_MQ_SG</f>
        <v>0</v>
      </c>
      <c r="P159" s="134">
        <f>Dist_Proad_SQ_SG*'Regional data'!K65*NB_SQ_SG</f>
        <v>0</v>
      </c>
    </row>
    <row r="160" spans="2:16" x14ac:dyDescent="0.25">
      <c r="B160" s="69" t="str">
        <f>IF('Regional data'!B66="","-",'Regional data'!B66)</f>
        <v>-</v>
      </c>
      <c r="C160" s="247">
        <f>1-'Regional data'!V66/365</f>
        <v>1</v>
      </c>
      <c r="D160" s="247">
        <f>1-'Regional data'!V66/(4*365)</f>
        <v>1</v>
      </c>
      <c r="E160" s="141">
        <f>Dist_Uroad_LQ_CR*'Regional data'!C66*NB_LQ_CR</f>
        <v>0</v>
      </c>
      <c r="F160" s="142">
        <f>Dist_Uroad_MQ_CR*'Regional data'!D66*NB_MQ_CR</f>
        <v>0</v>
      </c>
      <c r="G160" s="192">
        <f>Dist_Uroad_SQ_CR*'Regional data'!E66*NB_SQ_CR</f>
        <v>0</v>
      </c>
      <c r="H160" s="142">
        <f>Dist_Proad_LQ_CR*'Regional data'!C66*NB_LQ_CR</f>
        <v>0</v>
      </c>
      <c r="I160" s="142">
        <f>Dist_Proad_MQ_CR*'Regional data'!D66*NB_MQ_CR</f>
        <v>0</v>
      </c>
      <c r="J160" s="134">
        <f>Dist_Proad_SQ_CR*'Regional data'!E66*NB_SQ_CR</f>
        <v>0</v>
      </c>
      <c r="K160" s="141">
        <f>Dist_Uroad_LQ_SG*'Regional data'!I66*NB_LQ_SG</f>
        <v>0</v>
      </c>
      <c r="L160" s="142">
        <f>Dist_Uroad_MQ_SG*'Regional data'!J66*NB_MQ_SG</f>
        <v>0</v>
      </c>
      <c r="M160" s="142">
        <f>Dist_Uroad_SQ_SG*'Regional data'!K66*NB_SQ_SG</f>
        <v>0</v>
      </c>
      <c r="N160" s="191">
        <f>Dist_Proad_LQ_SG*'Regional data'!I66*NB_LQ_SG</f>
        <v>0</v>
      </c>
      <c r="O160" s="142">
        <f>Dist_Proad_MQ_SG*'Regional data'!J66*NB_MQ_SG</f>
        <v>0</v>
      </c>
      <c r="P160" s="134">
        <f>Dist_Proad_SQ_SG*'Regional data'!K66*NB_SQ_SG</f>
        <v>0</v>
      </c>
    </row>
    <row r="161" spans="2:16" x14ac:dyDescent="0.25">
      <c r="B161" s="69" t="str">
        <f>IF('Regional data'!B67="","-",'Regional data'!B67)</f>
        <v>-</v>
      </c>
      <c r="C161" s="247">
        <f>1-'Regional data'!V67/365</f>
        <v>1</v>
      </c>
      <c r="D161" s="247">
        <f>1-'Regional data'!V67/(4*365)</f>
        <v>1</v>
      </c>
      <c r="E161" s="141">
        <f>Dist_Uroad_LQ_CR*'Regional data'!C67*NB_LQ_CR</f>
        <v>0</v>
      </c>
      <c r="F161" s="142">
        <f>Dist_Uroad_MQ_CR*'Regional data'!D67*NB_MQ_CR</f>
        <v>0</v>
      </c>
      <c r="G161" s="192">
        <f>Dist_Uroad_SQ_CR*'Regional data'!E67*NB_SQ_CR</f>
        <v>0</v>
      </c>
      <c r="H161" s="142">
        <f>Dist_Proad_LQ_CR*'Regional data'!C67*NB_LQ_CR</f>
        <v>0</v>
      </c>
      <c r="I161" s="142">
        <f>Dist_Proad_MQ_CR*'Regional data'!D67*NB_MQ_CR</f>
        <v>0</v>
      </c>
      <c r="J161" s="134">
        <f>Dist_Proad_SQ_CR*'Regional data'!E67*NB_SQ_CR</f>
        <v>0</v>
      </c>
      <c r="K161" s="141">
        <f>Dist_Uroad_LQ_SG*'Regional data'!I67*NB_LQ_SG</f>
        <v>0</v>
      </c>
      <c r="L161" s="142">
        <f>Dist_Uroad_MQ_SG*'Regional data'!J67*NB_MQ_SG</f>
        <v>0</v>
      </c>
      <c r="M161" s="142">
        <f>Dist_Uroad_SQ_SG*'Regional data'!K67*NB_SQ_SG</f>
        <v>0</v>
      </c>
      <c r="N161" s="191">
        <f>Dist_Proad_LQ_SG*'Regional data'!I67*NB_LQ_SG</f>
        <v>0</v>
      </c>
      <c r="O161" s="142">
        <f>Dist_Proad_MQ_SG*'Regional data'!J67*NB_MQ_SG</f>
        <v>0</v>
      </c>
      <c r="P161" s="134">
        <f>Dist_Proad_SQ_SG*'Regional data'!K67*NB_SQ_SG</f>
        <v>0</v>
      </c>
    </row>
    <row r="162" spans="2:16" x14ac:dyDescent="0.25">
      <c r="B162" s="69" t="str">
        <f>IF('Regional data'!B68="","-",'Regional data'!B68)</f>
        <v>-</v>
      </c>
      <c r="C162" s="247">
        <f>1-'Regional data'!V68/365</f>
        <v>1</v>
      </c>
      <c r="D162" s="247">
        <f>1-'Regional data'!V68/(4*365)</f>
        <v>1</v>
      </c>
      <c r="E162" s="141">
        <f>Dist_Uroad_LQ_CR*'Regional data'!C68*NB_LQ_CR</f>
        <v>0</v>
      </c>
      <c r="F162" s="142">
        <f>Dist_Uroad_MQ_CR*'Regional data'!D68*NB_MQ_CR</f>
        <v>0</v>
      </c>
      <c r="G162" s="192">
        <f>Dist_Uroad_SQ_CR*'Regional data'!E68*NB_SQ_CR</f>
        <v>0</v>
      </c>
      <c r="H162" s="142">
        <f>Dist_Proad_LQ_CR*'Regional data'!C68*NB_LQ_CR</f>
        <v>0</v>
      </c>
      <c r="I162" s="142">
        <f>Dist_Proad_MQ_CR*'Regional data'!D68*NB_MQ_CR</f>
        <v>0</v>
      </c>
      <c r="J162" s="134">
        <f>Dist_Proad_SQ_CR*'Regional data'!E68*NB_SQ_CR</f>
        <v>0</v>
      </c>
      <c r="K162" s="141">
        <f>Dist_Uroad_LQ_SG*'Regional data'!I68*NB_LQ_SG</f>
        <v>0</v>
      </c>
      <c r="L162" s="142">
        <f>Dist_Uroad_MQ_SG*'Regional data'!J68*NB_MQ_SG</f>
        <v>0</v>
      </c>
      <c r="M162" s="142">
        <f>Dist_Uroad_SQ_SG*'Regional data'!K68*NB_SQ_SG</f>
        <v>0</v>
      </c>
      <c r="N162" s="191">
        <f>Dist_Proad_LQ_SG*'Regional data'!I68*NB_LQ_SG</f>
        <v>0</v>
      </c>
      <c r="O162" s="142">
        <f>Dist_Proad_MQ_SG*'Regional data'!J68*NB_MQ_SG</f>
        <v>0</v>
      </c>
      <c r="P162" s="134">
        <f>Dist_Proad_SQ_SG*'Regional data'!K68*NB_SQ_SG</f>
        <v>0</v>
      </c>
    </row>
    <row r="163" spans="2:16" x14ac:dyDescent="0.25">
      <c r="B163" s="69" t="str">
        <f>IF('Regional data'!B69="","-",'Regional data'!B69)</f>
        <v>-</v>
      </c>
      <c r="C163" s="247">
        <f>1-'Regional data'!V69/365</f>
        <v>1</v>
      </c>
      <c r="D163" s="247">
        <f>1-'Regional data'!V69/(4*365)</f>
        <v>1</v>
      </c>
      <c r="E163" s="141">
        <f>Dist_Uroad_LQ_CR*'Regional data'!C69*NB_LQ_CR</f>
        <v>0</v>
      </c>
      <c r="F163" s="142">
        <f>Dist_Uroad_MQ_CR*'Regional data'!D69*NB_MQ_CR</f>
        <v>0</v>
      </c>
      <c r="G163" s="192">
        <f>Dist_Uroad_SQ_CR*'Regional data'!E69*NB_SQ_CR</f>
        <v>0</v>
      </c>
      <c r="H163" s="142">
        <f>Dist_Proad_LQ_CR*'Regional data'!C69*NB_LQ_CR</f>
        <v>0</v>
      </c>
      <c r="I163" s="142">
        <f>Dist_Proad_MQ_CR*'Regional data'!D69*NB_MQ_CR</f>
        <v>0</v>
      </c>
      <c r="J163" s="134">
        <f>Dist_Proad_SQ_CR*'Regional data'!E69*NB_SQ_CR</f>
        <v>0</v>
      </c>
      <c r="K163" s="141">
        <f>Dist_Uroad_LQ_SG*'Regional data'!I69*NB_LQ_SG</f>
        <v>0</v>
      </c>
      <c r="L163" s="142">
        <f>Dist_Uroad_MQ_SG*'Regional data'!J69*NB_MQ_SG</f>
        <v>0</v>
      </c>
      <c r="M163" s="142">
        <f>Dist_Uroad_SQ_SG*'Regional data'!K69*NB_SQ_SG</f>
        <v>0</v>
      </c>
      <c r="N163" s="191">
        <f>Dist_Proad_LQ_SG*'Regional data'!I69*NB_LQ_SG</f>
        <v>0</v>
      </c>
      <c r="O163" s="142">
        <f>Dist_Proad_MQ_SG*'Regional data'!J69*NB_MQ_SG</f>
        <v>0</v>
      </c>
      <c r="P163" s="134">
        <f>Dist_Proad_SQ_SG*'Regional data'!K69*NB_SQ_SG</f>
        <v>0</v>
      </c>
    </row>
    <row r="164" spans="2:16" x14ac:dyDescent="0.25">
      <c r="B164" s="69" t="str">
        <f>IF('Regional data'!B70="","-",'Regional data'!B70)</f>
        <v>-</v>
      </c>
      <c r="C164" s="247">
        <f>1-'Regional data'!V70/365</f>
        <v>1</v>
      </c>
      <c r="D164" s="247">
        <f>1-'Regional data'!V70/(4*365)</f>
        <v>1</v>
      </c>
      <c r="E164" s="141">
        <f>Dist_Uroad_LQ_CR*'Regional data'!C70*NB_LQ_CR</f>
        <v>0</v>
      </c>
      <c r="F164" s="142">
        <f>Dist_Uroad_MQ_CR*'Regional data'!D70*NB_MQ_CR</f>
        <v>0</v>
      </c>
      <c r="G164" s="192">
        <f>Dist_Uroad_SQ_CR*'Regional data'!E70*NB_SQ_CR</f>
        <v>0</v>
      </c>
      <c r="H164" s="142">
        <f>Dist_Proad_LQ_CR*'Regional data'!C70*NB_LQ_CR</f>
        <v>0</v>
      </c>
      <c r="I164" s="142">
        <f>Dist_Proad_MQ_CR*'Regional data'!D70*NB_MQ_CR</f>
        <v>0</v>
      </c>
      <c r="J164" s="134">
        <f>Dist_Proad_SQ_CR*'Regional data'!E70*NB_SQ_CR</f>
        <v>0</v>
      </c>
      <c r="K164" s="141">
        <f>Dist_Uroad_LQ_SG*'Regional data'!I70*NB_LQ_SG</f>
        <v>0</v>
      </c>
      <c r="L164" s="142">
        <f>Dist_Uroad_MQ_SG*'Regional data'!J70*NB_MQ_SG</f>
        <v>0</v>
      </c>
      <c r="M164" s="142">
        <f>Dist_Uroad_SQ_SG*'Regional data'!K70*NB_SQ_SG</f>
        <v>0</v>
      </c>
      <c r="N164" s="191">
        <f>Dist_Proad_LQ_SG*'Regional data'!I70*NB_LQ_SG</f>
        <v>0</v>
      </c>
      <c r="O164" s="142">
        <f>Dist_Proad_MQ_SG*'Regional data'!J70*NB_MQ_SG</f>
        <v>0</v>
      </c>
      <c r="P164" s="134">
        <f>Dist_Proad_SQ_SG*'Regional data'!K70*NB_SQ_SG</f>
        <v>0</v>
      </c>
    </row>
    <row r="165" spans="2:16" x14ac:dyDescent="0.25">
      <c r="B165" s="69" t="str">
        <f>IF('Regional data'!B71="","-",'Regional data'!B71)</f>
        <v>-</v>
      </c>
      <c r="C165" s="247">
        <f>1-'Regional data'!V71/365</f>
        <v>1</v>
      </c>
      <c r="D165" s="247">
        <f>1-'Regional data'!V71/(4*365)</f>
        <v>1</v>
      </c>
      <c r="E165" s="141">
        <f>Dist_Uroad_LQ_CR*'Regional data'!C71*NB_LQ_CR</f>
        <v>0</v>
      </c>
      <c r="F165" s="142">
        <f>Dist_Uroad_MQ_CR*'Regional data'!D71*NB_MQ_CR</f>
        <v>0</v>
      </c>
      <c r="G165" s="192">
        <f>Dist_Uroad_SQ_CR*'Regional data'!E71*NB_SQ_CR</f>
        <v>0</v>
      </c>
      <c r="H165" s="142">
        <f>Dist_Proad_LQ_CR*'Regional data'!C71*NB_LQ_CR</f>
        <v>0</v>
      </c>
      <c r="I165" s="142">
        <f>Dist_Proad_MQ_CR*'Regional data'!D71*NB_MQ_CR</f>
        <v>0</v>
      </c>
      <c r="J165" s="134">
        <f>Dist_Proad_SQ_CR*'Regional data'!E71*NB_SQ_CR</f>
        <v>0</v>
      </c>
      <c r="K165" s="141">
        <f>Dist_Uroad_LQ_SG*'Regional data'!I71*NB_LQ_SG</f>
        <v>0</v>
      </c>
      <c r="L165" s="142">
        <f>Dist_Uroad_MQ_SG*'Regional data'!J71*NB_MQ_SG</f>
        <v>0</v>
      </c>
      <c r="M165" s="142">
        <f>Dist_Uroad_SQ_SG*'Regional data'!K71*NB_SQ_SG</f>
        <v>0</v>
      </c>
      <c r="N165" s="191">
        <f>Dist_Proad_LQ_SG*'Regional data'!I71*NB_LQ_SG</f>
        <v>0</v>
      </c>
      <c r="O165" s="142">
        <f>Dist_Proad_MQ_SG*'Regional data'!J71*NB_MQ_SG</f>
        <v>0</v>
      </c>
      <c r="P165" s="134">
        <f>Dist_Proad_SQ_SG*'Regional data'!K71*NB_SQ_SG</f>
        <v>0</v>
      </c>
    </row>
    <row r="166" spans="2:16" x14ac:dyDescent="0.25">
      <c r="B166" s="69" t="str">
        <f>IF('Regional data'!B72="","-",'Regional data'!B72)</f>
        <v>-</v>
      </c>
      <c r="C166" s="247">
        <f>1-'Regional data'!V72/365</f>
        <v>1</v>
      </c>
      <c r="D166" s="247">
        <f>1-'Regional data'!V72/(4*365)</f>
        <v>1</v>
      </c>
      <c r="E166" s="141">
        <f>Dist_Uroad_LQ_CR*'Regional data'!C72*NB_LQ_CR</f>
        <v>0</v>
      </c>
      <c r="F166" s="142">
        <f>Dist_Uroad_MQ_CR*'Regional data'!D72*NB_MQ_CR</f>
        <v>0</v>
      </c>
      <c r="G166" s="192">
        <f>Dist_Uroad_SQ_CR*'Regional data'!E72*NB_SQ_CR</f>
        <v>0</v>
      </c>
      <c r="H166" s="142">
        <f>Dist_Proad_LQ_CR*'Regional data'!C72*NB_LQ_CR</f>
        <v>0</v>
      </c>
      <c r="I166" s="142">
        <f>Dist_Proad_MQ_CR*'Regional data'!D72*NB_MQ_CR</f>
        <v>0</v>
      </c>
      <c r="J166" s="134">
        <f>Dist_Proad_SQ_CR*'Regional data'!E72*NB_SQ_CR</f>
        <v>0</v>
      </c>
      <c r="K166" s="141">
        <f>Dist_Uroad_LQ_SG*'Regional data'!I72*NB_LQ_SG</f>
        <v>0</v>
      </c>
      <c r="L166" s="142">
        <f>Dist_Uroad_MQ_SG*'Regional data'!J72*NB_MQ_SG</f>
        <v>0</v>
      </c>
      <c r="M166" s="142">
        <f>Dist_Uroad_SQ_SG*'Regional data'!K72*NB_SQ_SG</f>
        <v>0</v>
      </c>
      <c r="N166" s="191">
        <f>Dist_Proad_LQ_SG*'Regional data'!I72*NB_LQ_SG</f>
        <v>0</v>
      </c>
      <c r="O166" s="142">
        <f>Dist_Proad_MQ_SG*'Regional data'!J72*NB_MQ_SG</f>
        <v>0</v>
      </c>
      <c r="P166" s="134">
        <f>Dist_Proad_SQ_SG*'Regional data'!K72*NB_SQ_SG</f>
        <v>0</v>
      </c>
    </row>
    <row r="167" spans="2:16" x14ac:dyDescent="0.25">
      <c r="B167" s="69" t="str">
        <f>IF('Regional data'!B73="","-",'Regional data'!B73)</f>
        <v>-</v>
      </c>
      <c r="C167" s="247">
        <f>1-'Regional data'!V73/365</f>
        <v>1</v>
      </c>
      <c r="D167" s="247">
        <f>1-'Regional data'!V73/(4*365)</f>
        <v>1</v>
      </c>
      <c r="E167" s="141">
        <f>Dist_Uroad_LQ_CR*'Regional data'!C73*NB_LQ_CR</f>
        <v>0</v>
      </c>
      <c r="F167" s="142">
        <f>Dist_Uroad_MQ_CR*'Regional data'!D73*NB_MQ_CR</f>
        <v>0</v>
      </c>
      <c r="G167" s="192">
        <f>Dist_Uroad_SQ_CR*'Regional data'!E73*NB_SQ_CR</f>
        <v>0</v>
      </c>
      <c r="H167" s="142">
        <f>Dist_Proad_LQ_CR*'Regional data'!C73*NB_LQ_CR</f>
        <v>0</v>
      </c>
      <c r="I167" s="142">
        <f>Dist_Proad_MQ_CR*'Regional data'!D73*NB_MQ_CR</f>
        <v>0</v>
      </c>
      <c r="J167" s="134">
        <f>Dist_Proad_SQ_CR*'Regional data'!E73*NB_SQ_CR</f>
        <v>0</v>
      </c>
      <c r="K167" s="141">
        <f>Dist_Uroad_LQ_SG*'Regional data'!I73*NB_LQ_SG</f>
        <v>0</v>
      </c>
      <c r="L167" s="142">
        <f>Dist_Uroad_MQ_SG*'Regional data'!J73*NB_MQ_SG</f>
        <v>0</v>
      </c>
      <c r="M167" s="142">
        <f>Dist_Uroad_SQ_SG*'Regional data'!K73*NB_SQ_SG</f>
        <v>0</v>
      </c>
      <c r="N167" s="191">
        <f>Dist_Proad_LQ_SG*'Regional data'!I73*NB_LQ_SG</f>
        <v>0</v>
      </c>
      <c r="O167" s="142">
        <f>Dist_Proad_MQ_SG*'Regional data'!J73*NB_MQ_SG</f>
        <v>0</v>
      </c>
      <c r="P167" s="134">
        <f>Dist_Proad_SQ_SG*'Regional data'!K73*NB_SQ_SG</f>
        <v>0</v>
      </c>
    </row>
    <row r="168" spans="2:16" x14ac:dyDescent="0.25">
      <c r="B168" s="69" t="str">
        <f>IF('Regional data'!B74="","-",'Regional data'!B74)</f>
        <v>-</v>
      </c>
      <c r="C168" s="247">
        <f>1-'Regional data'!V74/365</f>
        <v>1</v>
      </c>
      <c r="D168" s="247">
        <f>1-'Regional data'!V74/(4*365)</f>
        <v>1</v>
      </c>
      <c r="E168" s="141">
        <f>Dist_Uroad_LQ_CR*'Regional data'!C74*NB_LQ_CR</f>
        <v>0</v>
      </c>
      <c r="F168" s="142">
        <f>Dist_Uroad_MQ_CR*'Regional data'!D74*NB_MQ_CR</f>
        <v>0</v>
      </c>
      <c r="G168" s="192">
        <f>Dist_Uroad_SQ_CR*'Regional data'!E74*NB_SQ_CR</f>
        <v>0</v>
      </c>
      <c r="H168" s="142">
        <f>Dist_Proad_LQ_CR*'Regional data'!C74*NB_LQ_CR</f>
        <v>0</v>
      </c>
      <c r="I168" s="142">
        <f>Dist_Proad_MQ_CR*'Regional data'!D74*NB_MQ_CR</f>
        <v>0</v>
      </c>
      <c r="J168" s="134">
        <f>Dist_Proad_SQ_CR*'Regional data'!E74*NB_SQ_CR</f>
        <v>0</v>
      </c>
      <c r="K168" s="141">
        <f>Dist_Uroad_LQ_SG*'Regional data'!I74*NB_LQ_SG</f>
        <v>0</v>
      </c>
      <c r="L168" s="142">
        <f>Dist_Uroad_MQ_SG*'Regional data'!J74*NB_MQ_SG</f>
        <v>0</v>
      </c>
      <c r="M168" s="142">
        <f>Dist_Uroad_SQ_SG*'Regional data'!K74*NB_SQ_SG</f>
        <v>0</v>
      </c>
      <c r="N168" s="191">
        <f>Dist_Proad_LQ_SG*'Regional data'!I74*NB_LQ_SG</f>
        <v>0</v>
      </c>
      <c r="O168" s="142">
        <f>Dist_Proad_MQ_SG*'Regional data'!J74*NB_MQ_SG</f>
        <v>0</v>
      </c>
      <c r="P168" s="134">
        <f>Dist_Proad_SQ_SG*'Regional data'!K74*NB_SQ_SG</f>
        <v>0</v>
      </c>
    </row>
    <row r="169" spans="2:16" x14ac:dyDescent="0.25">
      <c r="B169" s="69" t="str">
        <f>IF('Regional data'!B75="","-",'Regional data'!B75)</f>
        <v>-</v>
      </c>
      <c r="C169" s="247">
        <f>1-'Regional data'!V75/365</f>
        <v>1</v>
      </c>
      <c r="D169" s="247">
        <f>1-'Regional data'!V75/(4*365)</f>
        <v>1</v>
      </c>
      <c r="E169" s="141">
        <f>Dist_Uroad_LQ_CR*'Regional data'!C75*NB_LQ_CR</f>
        <v>0</v>
      </c>
      <c r="F169" s="142">
        <f>Dist_Uroad_MQ_CR*'Regional data'!D75*NB_MQ_CR</f>
        <v>0</v>
      </c>
      <c r="G169" s="192">
        <f>Dist_Uroad_SQ_CR*'Regional data'!E75*NB_SQ_CR</f>
        <v>0</v>
      </c>
      <c r="H169" s="142">
        <f>Dist_Proad_LQ_CR*'Regional data'!C75*NB_LQ_CR</f>
        <v>0</v>
      </c>
      <c r="I169" s="142">
        <f>Dist_Proad_MQ_CR*'Regional data'!D75*NB_MQ_CR</f>
        <v>0</v>
      </c>
      <c r="J169" s="134">
        <f>Dist_Proad_SQ_CR*'Regional data'!E75*NB_SQ_CR</f>
        <v>0</v>
      </c>
      <c r="K169" s="141">
        <f>Dist_Uroad_LQ_SG*'Regional data'!I75*NB_LQ_SG</f>
        <v>0</v>
      </c>
      <c r="L169" s="142">
        <f>Dist_Uroad_MQ_SG*'Regional data'!J75*NB_MQ_SG</f>
        <v>0</v>
      </c>
      <c r="M169" s="142">
        <f>Dist_Uroad_SQ_SG*'Regional data'!K75*NB_SQ_SG</f>
        <v>0</v>
      </c>
      <c r="N169" s="191">
        <f>Dist_Proad_LQ_SG*'Regional data'!I75*NB_LQ_SG</f>
        <v>0</v>
      </c>
      <c r="O169" s="142">
        <f>Dist_Proad_MQ_SG*'Regional data'!J75*NB_MQ_SG</f>
        <v>0</v>
      </c>
      <c r="P169" s="134">
        <f>Dist_Proad_SQ_SG*'Regional data'!K75*NB_SQ_SG</f>
        <v>0</v>
      </c>
    </row>
    <row r="170" spans="2:16" x14ac:dyDescent="0.25">
      <c r="B170" s="69" t="str">
        <f>IF('Regional data'!B76="","-",'Regional data'!B76)</f>
        <v>-</v>
      </c>
      <c r="C170" s="247">
        <f>1-'Regional data'!V76/365</f>
        <v>1</v>
      </c>
      <c r="D170" s="247">
        <f>1-'Regional data'!V76/(4*365)</f>
        <v>1</v>
      </c>
      <c r="E170" s="141">
        <f>Dist_Uroad_LQ_CR*'Regional data'!C76*NB_LQ_CR</f>
        <v>0</v>
      </c>
      <c r="F170" s="142">
        <f>Dist_Uroad_MQ_CR*'Regional data'!D76*NB_MQ_CR</f>
        <v>0</v>
      </c>
      <c r="G170" s="192">
        <f>Dist_Uroad_SQ_CR*'Regional data'!E76*NB_SQ_CR</f>
        <v>0</v>
      </c>
      <c r="H170" s="142">
        <f>Dist_Proad_LQ_CR*'Regional data'!C76*NB_LQ_CR</f>
        <v>0</v>
      </c>
      <c r="I170" s="142">
        <f>Dist_Proad_MQ_CR*'Regional data'!D76*NB_MQ_CR</f>
        <v>0</v>
      </c>
      <c r="J170" s="134">
        <f>Dist_Proad_SQ_CR*'Regional data'!E76*NB_SQ_CR</f>
        <v>0</v>
      </c>
      <c r="K170" s="141">
        <f>Dist_Uroad_LQ_SG*'Regional data'!I76*NB_LQ_SG</f>
        <v>0</v>
      </c>
      <c r="L170" s="142">
        <f>Dist_Uroad_MQ_SG*'Regional data'!J76*NB_MQ_SG</f>
        <v>0</v>
      </c>
      <c r="M170" s="142">
        <f>Dist_Uroad_SQ_SG*'Regional data'!K76*NB_SQ_SG</f>
        <v>0</v>
      </c>
      <c r="N170" s="191">
        <f>Dist_Proad_LQ_SG*'Regional data'!I76*NB_LQ_SG</f>
        <v>0</v>
      </c>
      <c r="O170" s="142">
        <f>Dist_Proad_MQ_SG*'Regional data'!J76*NB_MQ_SG</f>
        <v>0</v>
      </c>
      <c r="P170" s="134">
        <f>Dist_Proad_SQ_SG*'Regional data'!K76*NB_SQ_SG</f>
        <v>0</v>
      </c>
    </row>
    <row r="171" spans="2:16" x14ac:dyDescent="0.25">
      <c r="B171" s="69" t="str">
        <f>IF('Regional data'!B77="","-",'Regional data'!B77)</f>
        <v>-</v>
      </c>
      <c r="C171" s="247">
        <f>1-'Regional data'!V77/365</f>
        <v>1</v>
      </c>
      <c r="D171" s="247">
        <f>1-'Regional data'!V77/(4*365)</f>
        <v>1</v>
      </c>
      <c r="E171" s="141">
        <f>Dist_Uroad_LQ_CR*'Regional data'!C77*NB_LQ_CR</f>
        <v>0</v>
      </c>
      <c r="F171" s="142">
        <f>Dist_Uroad_MQ_CR*'Regional data'!D77*NB_MQ_CR</f>
        <v>0</v>
      </c>
      <c r="G171" s="192">
        <f>Dist_Uroad_SQ_CR*'Regional data'!E77*NB_SQ_CR</f>
        <v>0</v>
      </c>
      <c r="H171" s="142">
        <f>Dist_Proad_LQ_CR*'Regional data'!C77*NB_LQ_CR</f>
        <v>0</v>
      </c>
      <c r="I171" s="142">
        <f>Dist_Proad_MQ_CR*'Regional data'!D77*NB_MQ_CR</f>
        <v>0</v>
      </c>
      <c r="J171" s="134">
        <f>Dist_Proad_SQ_CR*'Regional data'!E77*NB_SQ_CR</f>
        <v>0</v>
      </c>
      <c r="K171" s="141">
        <f>Dist_Uroad_LQ_SG*'Regional data'!I77*NB_LQ_SG</f>
        <v>0</v>
      </c>
      <c r="L171" s="142">
        <f>Dist_Uroad_MQ_SG*'Regional data'!J77*NB_MQ_SG</f>
        <v>0</v>
      </c>
      <c r="M171" s="142">
        <f>Dist_Uroad_SQ_SG*'Regional data'!K77*NB_SQ_SG</f>
        <v>0</v>
      </c>
      <c r="N171" s="191">
        <f>Dist_Proad_LQ_SG*'Regional data'!I77*NB_LQ_SG</f>
        <v>0</v>
      </c>
      <c r="O171" s="142">
        <f>Dist_Proad_MQ_SG*'Regional data'!J77*NB_MQ_SG</f>
        <v>0</v>
      </c>
      <c r="P171" s="134">
        <f>Dist_Proad_SQ_SG*'Regional data'!K77*NB_SQ_SG</f>
        <v>0</v>
      </c>
    </row>
    <row r="172" spans="2:16" x14ac:dyDescent="0.25">
      <c r="B172" s="69" t="str">
        <f>IF('Regional data'!B78="","-",'Regional data'!B78)</f>
        <v>-</v>
      </c>
      <c r="C172" s="247">
        <f>1-'Regional data'!V78/365</f>
        <v>1</v>
      </c>
      <c r="D172" s="247">
        <f>1-'Regional data'!V78/(4*365)</f>
        <v>1</v>
      </c>
      <c r="E172" s="141">
        <f>Dist_Uroad_LQ_CR*'Regional data'!C78*NB_LQ_CR</f>
        <v>0</v>
      </c>
      <c r="F172" s="142">
        <f>Dist_Uroad_MQ_CR*'Regional data'!D78*NB_MQ_CR</f>
        <v>0</v>
      </c>
      <c r="G172" s="192">
        <f>Dist_Uroad_SQ_CR*'Regional data'!E78*NB_SQ_CR</f>
        <v>0</v>
      </c>
      <c r="H172" s="142">
        <f>Dist_Proad_LQ_CR*'Regional data'!C78*NB_LQ_CR</f>
        <v>0</v>
      </c>
      <c r="I172" s="142">
        <f>Dist_Proad_MQ_CR*'Regional data'!D78*NB_MQ_CR</f>
        <v>0</v>
      </c>
      <c r="J172" s="134">
        <f>Dist_Proad_SQ_CR*'Regional data'!E78*NB_SQ_CR</f>
        <v>0</v>
      </c>
      <c r="K172" s="141">
        <f>Dist_Uroad_LQ_SG*'Regional data'!I78*NB_LQ_SG</f>
        <v>0</v>
      </c>
      <c r="L172" s="142">
        <f>Dist_Uroad_MQ_SG*'Regional data'!J78*NB_MQ_SG</f>
        <v>0</v>
      </c>
      <c r="M172" s="142">
        <f>Dist_Uroad_SQ_SG*'Regional data'!K78*NB_SQ_SG</f>
        <v>0</v>
      </c>
      <c r="N172" s="191">
        <f>Dist_Proad_LQ_SG*'Regional data'!I78*NB_LQ_SG</f>
        <v>0</v>
      </c>
      <c r="O172" s="142">
        <f>Dist_Proad_MQ_SG*'Regional data'!J78*NB_MQ_SG</f>
        <v>0</v>
      </c>
      <c r="P172" s="134">
        <f>Dist_Proad_SQ_SG*'Regional data'!K78*NB_SQ_SG</f>
        <v>0</v>
      </c>
    </row>
    <row r="173" spans="2:16" x14ac:dyDescent="0.25">
      <c r="B173" s="69" t="str">
        <f>IF('Regional data'!B79="","-",'Regional data'!B79)</f>
        <v>-</v>
      </c>
      <c r="C173" s="247">
        <f>1-'Regional data'!V79/365</f>
        <v>1</v>
      </c>
      <c r="D173" s="247">
        <f>1-'Regional data'!V79/(4*365)</f>
        <v>1</v>
      </c>
      <c r="E173" s="141">
        <f>Dist_Uroad_LQ_CR*'Regional data'!C79*NB_LQ_CR</f>
        <v>0</v>
      </c>
      <c r="F173" s="142">
        <f>Dist_Uroad_MQ_CR*'Regional data'!D79*NB_MQ_CR</f>
        <v>0</v>
      </c>
      <c r="G173" s="192">
        <f>Dist_Uroad_SQ_CR*'Regional data'!E79*NB_SQ_CR</f>
        <v>0</v>
      </c>
      <c r="H173" s="142">
        <f>Dist_Proad_LQ_CR*'Regional data'!C79*NB_LQ_CR</f>
        <v>0</v>
      </c>
      <c r="I173" s="142">
        <f>Dist_Proad_MQ_CR*'Regional data'!D79*NB_MQ_CR</f>
        <v>0</v>
      </c>
      <c r="J173" s="134">
        <f>Dist_Proad_SQ_CR*'Regional data'!E79*NB_SQ_CR</f>
        <v>0</v>
      </c>
      <c r="K173" s="141">
        <f>Dist_Uroad_LQ_SG*'Regional data'!I79*NB_LQ_SG</f>
        <v>0</v>
      </c>
      <c r="L173" s="142">
        <f>Dist_Uroad_MQ_SG*'Regional data'!J79*NB_MQ_SG</f>
        <v>0</v>
      </c>
      <c r="M173" s="142">
        <f>Dist_Uroad_SQ_SG*'Regional data'!K79*NB_SQ_SG</f>
        <v>0</v>
      </c>
      <c r="N173" s="191">
        <f>Dist_Proad_LQ_SG*'Regional data'!I79*NB_LQ_SG</f>
        <v>0</v>
      </c>
      <c r="O173" s="142">
        <f>Dist_Proad_MQ_SG*'Regional data'!J79*NB_MQ_SG</f>
        <v>0</v>
      </c>
      <c r="P173" s="134">
        <f>Dist_Proad_SQ_SG*'Regional data'!K79*NB_SQ_SG</f>
        <v>0</v>
      </c>
    </row>
    <row r="174" spans="2:16" x14ac:dyDescent="0.25">
      <c r="B174" s="69" t="str">
        <f>IF('Regional data'!B80="","-",'Regional data'!B80)</f>
        <v>-</v>
      </c>
      <c r="C174" s="247">
        <f>1-'Regional data'!V80/365</f>
        <v>1</v>
      </c>
      <c r="D174" s="247">
        <f>1-'Regional data'!V80/(4*365)</f>
        <v>1</v>
      </c>
      <c r="E174" s="141">
        <f>Dist_Uroad_LQ_CR*'Regional data'!C80*NB_LQ_CR</f>
        <v>0</v>
      </c>
      <c r="F174" s="142">
        <f>Dist_Uroad_MQ_CR*'Regional data'!D80*NB_MQ_CR</f>
        <v>0</v>
      </c>
      <c r="G174" s="192">
        <f>Dist_Uroad_SQ_CR*'Regional data'!E80*NB_SQ_CR</f>
        <v>0</v>
      </c>
      <c r="H174" s="142">
        <f>Dist_Proad_LQ_CR*'Regional data'!C80*NB_LQ_CR</f>
        <v>0</v>
      </c>
      <c r="I174" s="142">
        <f>Dist_Proad_MQ_CR*'Regional data'!D80*NB_MQ_CR</f>
        <v>0</v>
      </c>
      <c r="J174" s="134">
        <f>Dist_Proad_SQ_CR*'Regional data'!E80*NB_SQ_CR</f>
        <v>0</v>
      </c>
      <c r="K174" s="141">
        <f>Dist_Uroad_LQ_SG*'Regional data'!I80*NB_LQ_SG</f>
        <v>0</v>
      </c>
      <c r="L174" s="142">
        <f>Dist_Uroad_MQ_SG*'Regional data'!J80*NB_MQ_SG</f>
        <v>0</v>
      </c>
      <c r="M174" s="142">
        <f>Dist_Uroad_SQ_SG*'Regional data'!K80*NB_SQ_SG</f>
        <v>0</v>
      </c>
      <c r="N174" s="191">
        <f>Dist_Proad_LQ_SG*'Regional data'!I80*NB_LQ_SG</f>
        <v>0</v>
      </c>
      <c r="O174" s="142">
        <f>Dist_Proad_MQ_SG*'Regional data'!J80*NB_MQ_SG</f>
        <v>0</v>
      </c>
      <c r="P174" s="134">
        <f>Dist_Proad_SQ_SG*'Regional data'!K80*NB_SQ_SG</f>
        <v>0</v>
      </c>
    </row>
    <row r="175" spans="2:16" x14ac:dyDescent="0.25">
      <c r="B175" s="69" t="str">
        <f>IF('Regional data'!B81="","-",'Regional data'!B81)</f>
        <v>-</v>
      </c>
      <c r="C175" s="247">
        <f>1-'Regional data'!V81/365</f>
        <v>1</v>
      </c>
      <c r="D175" s="247">
        <f>1-'Regional data'!V81/(4*365)</f>
        <v>1</v>
      </c>
      <c r="E175" s="141">
        <f>Dist_Uroad_LQ_CR*'Regional data'!C81*NB_LQ_CR</f>
        <v>0</v>
      </c>
      <c r="F175" s="142">
        <f>Dist_Uroad_MQ_CR*'Regional data'!D81*NB_MQ_CR</f>
        <v>0</v>
      </c>
      <c r="G175" s="192">
        <f>Dist_Uroad_SQ_CR*'Regional data'!E81*NB_SQ_CR</f>
        <v>0</v>
      </c>
      <c r="H175" s="142">
        <f>Dist_Proad_LQ_CR*'Regional data'!C81*NB_LQ_CR</f>
        <v>0</v>
      </c>
      <c r="I175" s="142">
        <f>Dist_Proad_MQ_CR*'Regional data'!D81*NB_MQ_CR</f>
        <v>0</v>
      </c>
      <c r="J175" s="134">
        <f>Dist_Proad_SQ_CR*'Regional data'!E81*NB_SQ_CR</f>
        <v>0</v>
      </c>
      <c r="K175" s="141">
        <f>Dist_Uroad_LQ_SG*'Regional data'!I81*NB_LQ_SG</f>
        <v>0</v>
      </c>
      <c r="L175" s="142">
        <f>Dist_Uroad_MQ_SG*'Regional data'!J81*NB_MQ_SG</f>
        <v>0</v>
      </c>
      <c r="M175" s="142">
        <f>Dist_Uroad_SQ_SG*'Regional data'!K81*NB_SQ_SG</f>
        <v>0</v>
      </c>
      <c r="N175" s="191">
        <f>Dist_Proad_LQ_SG*'Regional data'!I81*NB_LQ_SG</f>
        <v>0</v>
      </c>
      <c r="O175" s="142">
        <f>Dist_Proad_MQ_SG*'Regional data'!J81*NB_MQ_SG</f>
        <v>0</v>
      </c>
      <c r="P175" s="134">
        <f>Dist_Proad_SQ_SG*'Regional data'!K81*NB_SQ_SG</f>
        <v>0</v>
      </c>
    </row>
    <row r="176" spans="2:16" x14ac:dyDescent="0.25">
      <c r="B176" s="69" t="str">
        <f>IF('Regional data'!B82="","-",'Regional data'!B82)</f>
        <v>-</v>
      </c>
      <c r="C176" s="247">
        <f>1-'Regional data'!V82/365</f>
        <v>1</v>
      </c>
      <c r="D176" s="247">
        <f>1-'Regional data'!V82/(4*365)</f>
        <v>1</v>
      </c>
      <c r="E176" s="141">
        <f>Dist_Uroad_LQ_CR*'Regional data'!C82*NB_LQ_CR</f>
        <v>0</v>
      </c>
      <c r="F176" s="142">
        <f>Dist_Uroad_MQ_CR*'Regional data'!D82*NB_MQ_CR</f>
        <v>0</v>
      </c>
      <c r="G176" s="192">
        <f>Dist_Uroad_SQ_CR*'Regional data'!E82*NB_SQ_CR</f>
        <v>0</v>
      </c>
      <c r="H176" s="142">
        <f>Dist_Proad_LQ_CR*'Regional data'!C82*NB_LQ_CR</f>
        <v>0</v>
      </c>
      <c r="I176" s="142">
        <f>Dist_Proad_MQ_CR*'Regional data'!D82*NB_MQ_CR</f>
        <v>0</v>
      </c>
      <c r="J176" s="134">
        <f>Dist_Proad_SQ_CR*'Regional data'!E82*NB_SQ_CR</f>
        <v>0</v>
      </c>
      <c r="K176" s="141">
        <f>Dist_Uroad_LQ_SG*'Regional data'!I82*NB_LQ_SG</f>
        <v>0</v>
      </c>
      <c r="L176" s="142">
        <f>Dist_Uroad_MQ_SG*'Regional data'!J82*NB_MQ_SG</f>
        <v>0</v>
      </c>
      <c r="M176" s="191">
        <f>Dist_Uroad_SQ_SG*'Regional data'!K82*NB_SQ_SG</f>
        <v>0</v>
      </c>
      <c r="N176" s="191">
        <f>Dist_Proad_LQ_SG*'Regional data'!I82*NB_LQ_SG</f>
        <v>0</v>
      </c>
      <c r="O176" s="142">
        <f>Dist_Proad_MQ_SG*'Regional data'!J82*NB_MQ_SG</f>
        <v>0</v>
      </c>
      <c r="P176" s="134">
        <f>Dist_Proad_SQ_SG*'Regional data'!K82*NB_SQ_SG</f>
        <v>0</v>
      </c>
    </row>
    <row r="177" spans="2:16" x14ac:dyDescent="0.25">
      <c r="B177" s="69" t="str">
        <f>IF('Regional data'!B83="","-",'Regional data'!B83)</f>
        <v>-</v>
      </c>
      <c r="C177" s="247">
        <f>1-'Regional data'!V83/365</f>
        <v>1</v>
      </c>
      <c r="D177" s="247">
        <f>1-'Regional data'!V83/(4*365)</f>
        <v>1</v>
      </c>
      <c r="E177" s="141">
        <f>Dist_Uroad_LQ_CR*'Regional data'!C83*NB_LQ_CR</f>
        <v>0</v>
      </c>
      <c r="F177" s="142">
        <f>Dist_Uroad_MQ_CR*'Regional data'!D83*NB_MQ_CR</f>
        <v>0</v>
      </c>
      <c r="G177" s="192">
        <f>Dist_Uroad_SQ_CR*'Regional data'!E83*NB_SQ_CR</f>
        <v>0</v>
      </c>
      <c r="H177" s="142">
        <f>Dist_Proad_LQ_CR*'Regional data'!C83*NB_LQ_CR</f>
        <v>0</v>
      </c>
      <c r="I177" s="142">
        <f>Dist_Proad_MQ_CR*'Regional data'!D83*NB_MQ_CR</f>
        <v>0</v>
      </c>
      <c r="J177" s="134">
        <f>Dist_Proad_SQ_CR*'Regional data'!E83*NB_SQ_CR</f>
        <v>0</v>
      </c>
      <c r="K177" s="141">
        <f>Dist_Uroad_LQ_SG*'Regional data'!I83*NB_LQ_SG</f>
        <v>0</v>
      </c>
      <c r="L177" s="142">
        <f>Dist_Uroad_MQ_SG*'Regional data'!J83*NB_MQ_SG</f>
        <v>0</v>
      </c>
      <c r="M177" s="142">
        <f>Dist_Uroad_SQ_SG*'Regional data'!K83*NB_SQ_SG</f>
        <v>0</v>
      </c>
      <c r="N177" s="191">
        <f>Dist_Proad_LQ_SG*'Regional data'!I83*NB_LQ_SG</f>
        <v>0</v>
      </c>
      <c r="O177" s="142">
        <f>Dist_Proad_MQ_SG*'Regional data'!J83*NB_MQ_SG</f>
        <v>0</v>
      </c>
      <c r="P177" s="134">
        <f>Dist_Proad_SQ_SG*'Regional data'!K83*NB_SQ_SG</f>
        <v>0</v>
      </c>
    </row>
    <row r="178" spans="2:16" x14ac:dyDescent="0.25">
      <c r="B178" s="69" t="str">
        <f>IF('Regional data'!B84="","-",'Regional data'!B84)</f>
        <v>-</v>
      </c>
      <c r="C178" s="247">
        <f>1-'Regional data'!V84/365</f>
        <v>1</v>
      </c>
      <c r="D178" s="247">
        <f>1-'Regional data'!V84/(4*365)</f>
        <v>1</v>
      </c>
      <c r="E178" s="141">
        <f>Dist_Uroad_LQ_CR*'Regional data'!C84*NB_LQ_CR</f>
        <v>0</v>
      </c>
      <c r="F178" s="142">
        <f>Dist_Uroad_MQ_CR*'Regional data'!D84*NB_MQ_CR</f>
        <v>0</v>
      </c>
      <c r="G178" s="192">
        <f>Dist_Uroad_SQ_CR*'Regional data'!E84*NB_SQ_CR</f>
        <v>0</v>
      </c>
      <c r="H178" s="142">
        <f>Dist_Proad_LQ_CR*'Regional data'!C84*NB_LQ_CR</f>
        <v>0</v>
      </c>
      <c r="I178" s="142">
        <f>Dist_Proad_MQ_CR*'Regional data'!D84*NB_MQ_CR</f>
        <v>0</v>
      </c>
      <c r="J178" s="134">
        <f>Dist_Proad_SQ_CR*'Regional data'!E84*NB_SQ_CR</f>
        <v>0</v>
      </c>
      <c r="K178" s="141">
        <f>Dist_Uroad_LQ_SG*'Regional data'!I84*NB_LQ_SG</f>
        <v>0</v>
      </c>
      <c r="L178" s="142">
        <f>Dist_Uroad_MQ_SG*'Regional data'!J84*NB_MQ_SG</f>
        <v>0</v>
      </c>
      <c r="M178" s="142">
        <f>Dist_Uroad_SQ_SG*'Regional data'!K84*NB_SQ_SG</f>
        <v>0</v>
      </c>
      <c r="N178" s="191">
        <f>Dist_Proad_LQ_SG*'Regional data'!I84*NB_LQ_SG</f>
        <v>0</v>
      </c>
      <c r="O178" s="142">
        <f>Dist_Proad_MQ_SG*'Regional data'!J84*NB_MQ_SG</f>
        <v>0</v>
      </c>
      <c r="P178" s="134">
        <f>Dist_Proad_SQ_SG*'Regional data'!K84*NB_SQ_SG</f>
        <v>0</v>
      </c>
    </row>
    <row r="179" spans="2:16" x14ac:dyDescent="0.25">
      <c r="B179" s="69" t="str">
        <f>IF('Regional data'!B85="","-",'Regional data'!B85)</f>
        <v>-</v>
      </c>
      <c r="C179" s="247">
        <f>1-'Regional data'!V85/365</f>
        <v>1</v>
      </c>
      <c r="D179" s="247">
        <f>1-'Regional data'!V85/(4*365)</f>
        <v>1</v>
      </c>
      <c r="E179" s="141">
        <f>Dist_Uroad_LQ_CR*'Regional data'!C85*NB_LQ_CR</f>
        <v>0</v>
      </c>
      <c r="F179" s="142">
        <f>Dist_Uroad_MQ_CR*'Regional data'!D85*NB_MQ_CR</f>
        <v>0</v>
      </c>
      <c r="G179" s="192">
        <f>Dist_Uroad_SQ_CR*'Regional data'!E85*NB_SQ_CR</f>
        <v>0</v>
      </c>
      <c r="H179" s="142">
        <f>Dist_Proad_LQ_CR*'Regional data'!C85*NB_LQ_CR</f>
        <v>0</v>
      </c>
      <c r="I179" s="142">
        <f>Dist_Proad_MQ_CR*'Regional data'!D85*NB_MQ_CR</f>
        <v>0</v>
      </c>
      <c r="J179" s="134">
        <f>Dist_Proad_SQ_CR*'Regional data'!E85*NB_SQ_CR</f>
        <v>0</v>
      </c>
      <c r="K179" s="141">
        <f>Dist_Uroad_LQ_SG*'Regional data'!I85*NB_LQ_SG</f>
        <v>0</v>
      </c>
      <c r="L179" s="142">
        <f>Dist_Uroad_MQ_SG*'Regional data'!J85*NB_MQ_SG</f>
        <v>0</v>
      </c>
      <c r="M179" s="142">
        <f>Dist_Uroad_SQ_SG*'Regional data'!K85*NB_SQ_SG</f>
        <v>0</v>
      </c>
      <c r="N179" s="191">
        <f>Dist_Proad_LQ_SG*'Regional data'!I85*NB_LQ_SG</f>
        <v>0</v>
      </c>
      <c r="O179" s="142">
        <f>Dist_Proad_MQ_SG*'Regional data'!J85*NB_MQ_SG</f>
        <v>0</v>
      </c>
      <c r="P179" s="134">
        <f>Dist_Proad_SQ_SG*'Regional data'!K85*NB_SQ_SG</f>
        <v>0</v>
      </c>
    </row>
    <row r="180" spans="2:16" x14ac:dyDescent="0.25">
      <c r="B180" s="69" t="str">
        <f>IF('Regional data'!B86="","-",'Regional data'!B86)</f>
        <v>-</v>
      </c>
      <c r="C180" s="247">
        <f>1-'Regional data'!V86/365</f>
        <v>1</v>
      </c>
      <c r="D180" s="247">
        <f>1-'Regional data'!V86/(4*365)</f>
        <v>1</v>
      </c>
      <c r="E180" s="141">
        <f>Dist_Uroad_LQ_CR*'Regional data'!C86*NB_LQ_CR</f>
        <v>0</v>
      </c>
      <c r="F180" s="142">
        <f>Dist_Uroad_MQ_CR*'Regional data'!D86*NB_MQ_CR</f>
        <v>0</v>
      </c>
      <c r="G180" s="192">
        <f>Dist_Uroad_SQ_CR*'Regional data'!E86*NB_SQ_CR</f>
        <v>0</v>
      </c>
      <c r="H180" s="142">
        <f>Dist_Proad_LQ_CR*'Regional data'!C86*NB_LQ_CR</f>
        <v>0</v>
      </c>
      <c r="I180" s="142">
        <f>Dist_Proad_MQ_CR*'Regional data'!D86*NB_MQ_CR</f>
        <v>0</v>
      </c>
      <c r="J180" s="134">
        <f>Dist_Proad_SQ_CR*'Regional data'!E86*NB_SQ_CR</f>
        <v>0</v>
      </c>
      <c r="K180" s="141">
        <f>Dist_Uroad_LQ_SG*'Regional data'!I86*NB_LQ_SG</f>
        <v>0</v>
      </c>
      <c r="L180" s="142">
        <f>Dist_Uroad_MQ_SG*'Regional data'!J86*NB_MQ_SG</f>
        <v>0</v>
      </c>
      <c r="M180" s="142">
        <f>Dist_Uroad_SQ_SG*'Regional data'!K86*NB_SQ_SG</f>
        <v>0</v>
      </c>
      <c r="N180" s="191">
        <f>Dist_Proad_LQ_SG*'Regional data'!I86*NB_LQ_SG</f>
        <v>0</v>
      </c>
      <c r="O180" s="142">
        <f>Dist_Proad_MQ_SG*'Regional data'!J86*NB_MQ_SG</f>
        <v>0</v>
      </c>
      <c r="P180" s="134">
        <f>Dist_Proad_SQ_SG*'Regional data'!K86*NB_SQ_SG</f>
        <v>0</v>
      </c>
    </row>
    <row r="181" spans="2:16" x14ac:dyDescent="0.25">
      <c r="B181" s="69" t="str">
        <f>IF('Regional data'!B87="","-",'Regional data'!B87)</f>
        <v>-</v>
      </c>
      <c r="C181" s="247">
        <f>1-'Regional data'!V87/365</f>
        <v>1</v>
      </c>
      <c r="D181" s="247">
        <f>1-'Regional data'!V87/(4*365)</f>
        <v>1</v>
      </c>
      <c r="E181" s="141">
        <f>Dist_Uroad_LQ_CR*'Regional data'!C87*NB_LQ_CR</f>
        <v>0</v>
      </c>
      <c r="F181" s="142">
        <f>Dist_Uroad_MQ_CR*'Regional data'!D87*NB_MQ_CR</f>
        <v>0</v>
      </c>
      <c r="G181" s="192">
        <f>Dist_Uroad_SQ_CR*'Regional data'!E87*NB_SQ_CR</f>
        <v>0</v>
      </c>
      <c r="H181" s="142">
        <f>Dist_Proad_LQ_CR*'Regional data'!C87*NB_LQ_CR</f>
        <v>0</v>
      </c>
      <c r="I181" s="142">
        <f>Dist_Proad_MQ_CR*'Regional data'!D87*NB_MQ_CR</f>
        <v>0</v>
      </c>
      <c r="J181" s="134">
        <f>Dist_Proad_SQ_CR*'Regional data'!E87*NB_SQ_CR</f>
        <v>0</v>
      </c>
      <c r="K181" s="141">
        <f>Dist_Uroad_LQ_SG*'Regional data'!I87*NB_LQ_SG</f>
        <v>0</v>
      </c>
      <c r="L181" s="142">
        <f>Dist_Uroad_MQ_SG*'Regional data'!J87*NB_MQ_SG</f>
        <v>0</v>
      </c>
      <c r="M181" s="142">
        <f>Dist_Uroad_SQ_SG*'Regional data'!K87*NB_SQ_SG</f>
        <v>0</v>
      </c>
      <c r="N181" s="191">
        <f>Dist_Proad_LQ_SG*'Regional data'!I87*NB_LQ_SG</f>
        <v>0</v>
      </c>
      <c r="O181" s="142">
        <f>Dist_Proad_MQ_SG*'Regional data'!J87*NB_MQ_SG</f>
        <v>0</v>
      </c>
      <c r="P181" s="134">
        <f>Dist_Proad_SQ_SG*'Regional data'!K87*NB_SQ_SG</f>
        <v>0</v>
      </c>
    </row>
    <row r="182" spans="2:16" x14ac:dyDescent="0.25">
      <c r="B182" s="69" t="str">
        <f>IF('Regional data'!B88="","-",'Regional data'!B88)</f>
        <v>-</v>
      </c>
      <c r="C182" s="247">
        <f>1-'Regional data'!V88/365</f>
        <v>1</v>
      </c>
      <c r="D182" s="247">
        <f>1-'Regional data'!V88/(4*365)</f>
        <v>1</v>
      </c>
      <c r="E182" s="141">
        <f>Dist_Uroad_LQ_CR*'Regional data'!C88*NB_LQ_CR</f>
        <v>0</v>
      </c>
      <c r="F182" s="142">
        <f>Dist_Uroad_MQ_CR*'Regional data'!D88*NB_MQ_CR</f>
        <v>0</v>
      </c>
      <c r="G182" s="192">
        <f>Dist_Uroad_SQ_CR*'Regional data'!E88*NB_SQ_CR</f>
        <v>0</v>
      </c>
      <c r="H182" s="142">
        <f>Dist_Proad_LQ_CR*'Regional data'!C88*NB_LQ_CR</f>
        <v>0</v>
      </c>
      <c r="I182" s="142">
        <f>Dist_Proad_MQ_CR*'Regional data'!D88*NB_MQ_CR</f>
        <v>0</v>
      </c>
      <c r="J182" s="134">
        <f>Dist_Proad_SQ_CR*'Regional data'!E88*NB_SQ_CR</f>
        <v>0</v>
      </c>
      <c r="K182" s="141">
        <f>Dist_Uroad_LQ_SG*'Regional data'!I88*NB_LQ_SG</f>
        <v>0</v>
      </c>
      <c r="L182" s="142">
        <f>Dist_Uroad_MQ_SG*'Regional data'!J88*NB_MQ_SG</f>
        <v>0</v>
      </c>
      <c r="M182" s="142">
        <f>Dist_Uroad_SQ_SG*'Regional data'!K88*NB_SQ_SG</f>
        <v>0</v>
      </c>
      <c r="N182" s="191">
        <f>Dist_Proad_LQ_SG*'Regional data'!I88*NB_LQ_SG</f>
        <v>0</v>
      </c>
      <c r="O182" s="142">
        <f>Dist_Proad_MQ_SG*'Regional data'!J88*NB_MQ_SG</f>
        <v>0</v>
      </c>
      <c r="P182" s="134">
        <f>Dist_Proad_SQ_SG*'Regional data'!K88*NB_SQ_SG</f>
        <v>0</v>
      </c>
    </row>
    <row r="183" spans="2:16" x14ac:dyDescent="0.25">
      <c r="B183" s="69" t="str">
        <f>IF('Regional data'!B89="","-",'Regional data'!B89)</f>
        <v>-</v>
      </c>
      <c r="C183" s="247">
        <f>1-'Regional data'!V89/365</f>
        <v>1</v>
      </c>
      <c r="D183" s="247">
        <f>1-'Regional data'!V89/(4*365)</f>
        <v>1</v>
      </c>
      <c r="E183" s="141">
        <f>Dist_Uroad_LQ_CR*'Regional data'!C89*NB_LQ_CR</f>
        <v>0</v>
      </c>
      <c r="F183" s="142">
        <f>Dist_Uroad_MQ_CR*'Regional data'!D89*NB_MQ_CR</f>
        <v>0</v>
      </c>
      <c r="G183" s="192">
        <f>Dist_Uroad_SQ_CR*'Regional data'!E89*NB_SQ_CR</f>
        <v>0</v>
      </c>
      <c r="H183" s="142">
        <f>Dist_Proad_LQ_CR*'Regional data'!C89*NB_LQ_CR</f>
        <v>0</v>
      </c>
      <c r="I183" s="142">
        <f>Dist_Proad_MQ_CR*'Regional data'!D89*NB_MQ_CR</f>
        <v>0</v>
      </c>
      <c r="J183" s="134">
        <f>Dist_Proad_SQ_CR*'Regional data'!E89*NB_SQ_CR</f>
        <v>0</v>
      </c>
      <c r="K183" s="141">
        <f>Dist_Uroad_LQ_SG*'Regional data'!I89*NB_LQ_SG</f>
        <v>0</v>
      </c>
      <c r="L183" s="142">
        <f>Dist_Uroad_MQ_SG*'Regional data'!J89*NB_MQ_SG</f>
        <v>0</v>
      </c>
      <c r="M183" s="142">
        <f>Dist_Uroad_SQ_SG*'Regional data'!K89*NB_SQ_SG</f>
        <v>0</v>
      </c>
      <c r="N183" s="191">
        <f>Dist_Proad_LQ_SG*'Regional data'!I89*NB_LQ_SG</f>
        <v>0</v>
      </c>
      <c r="O183" s="142">
        <f>Dist_Proad_MQ_SG*'Regional data'!J89*NB_MQ_SG</f>
        <v>0</v>
      </c>
      <c r="P183" s="134">
        <f>Dist_Proad_SQ_SG*'Regional data'!K89*NB_SQ_SG</f>
        <v>0</v>
      </c>
    </row>
    <row r="184" spans="2:16" x14ac:dyDescent="0.25">
      <c r="B184" s="69" t="str">
        <f>IF('Regional data'!B90="","-",'Regional data'!B90)</f>
        <v>-</v>
      </c>
      <c r="C184" s="247">
        <f>1-'Regional data'!V90/365</f>
        <v>1</v>
      </c>
      <c r="D184" s="247">
        <f>1-'Regional data'!V90/(4*365)</f>
        <v>1</v>
      </c>
      <c r="E184" s="141">
        <f>Dist_Uroad_LQ_CR*'Regional data'!C90*NB_LQ_CR</f>
        <v>0</v>
      </c>
      <c r="F184" s="142">
        <f>Dist_Uroad_MQ_CR*'Regional data'!D90*NB_MQ_CR</f>
        <v>0</v>
      </c>
      <c r="G184" s="192">
        <f>Dist_Uroad_SQ_CR*'Regional data'!E90*NB_SQ_CR</f>
        <v>0</v>
      </c>
      <c r="H184" s="142">
        <f>Dist_Proad_LQ_CR*'Regional data'!C90*NB_LQ_CR</f>
        <v>0</v>
      </c>
      <c r="I184" s="142">
        <f>Dist_Proad_MQ_CR*'Regional data'!D90*NB_MQ_CR</f>
        <v>0</v>
      </c>
      <c r="J184" s="134">
        <f>Dist_Proad_SQ_CR*'Regional data'!E90*NB_SQ_CR</f>
        <v>0</v>
      </c>
      <c r="K184" s="141">
        <f>Dist_Uroad_LQ_SG*'Regional data'!I90*NB_LQ_SG</f>
        <v>0</v>
      </c>
      <c r="L184" s="142">
        <f>Dist_Uroad_MQ_SG*'Regional data'!J90*NB_MQ_SG</f>
        <v>0</v>
      </c>
      <c r="M184" s="142">
        <f>Dist_Uroad_SQ_SG*'Regional data'!K90*NB_SQ_SG</f>
        <v>0</v>
      </c>
      <c r="N184" s="191">
        <f>Dist_Proad_LQ_SG*'Regional data'!I90*NB_LQ_SG</f>
        <v>0</v>
      </c>
      <c r="O184" s="142">
        <f>Dist_Proad_MQ_SG*'Regional data'!J90*NB_MQ_SG</f>
        <v>0</v>
      </c>
      <c r="P184" s="134">
        <f>Dist_Proad_SQ_SG*'Regional data'!K90*NB_SQ_SG</f>
        <v>0</v>
      </c>
    </row>
    <row r="185" spans="2:16" x14ac:dyDescent="0.25">
      <c r="B185" s="69" t="str">
        <f>IF('Regional data'!B91="","-",'Regional data'!B91)</f>
        <v>-</v>
      </c>
      <c r="C185" s="247">
        <f>1-'Regional data'!V91/365</f>
        <v>1</v>
      </c>
      <c r="D185" s="247">
        <f>1-'Regional data'!V91/(4*365)</f>
        <v>1</v>
      </c>
      <c r="E185" s="141">
        <f>Dist_Uroad_LQ_CR*'Regional data'!C91*NB_LQ_CR</f>
        <v>0</v>
      </c>
      <c r="F185" s="142">
        <f>Dist_Uroad_MQ_CR*'Regional data'!D91*NB_MQ_CR</f>
        <v>0</v>
      </c>
      <c r="G185" s="192">
        <f>Dist_Uroad_SQ_CR*'Regional data'!E91*NB_SQ_CR</f>
        <v>0</v>
      </c>
      <c r="H185" s="142">
        <f>Dist_Proad_LQ_CR*'Regional data'!C91*NB_LQ_CR</f>
        <v>0</v>
      </c>
      <c r="I185" s="142">
        <f>Dist_Proad_MQ_CR*'Regional data'!D91*NB_MQ_CR</f>
        <v>0</v>
      </c>
      <c r="J185" s="134">
        <f>Dist_Proad_SQ_CR*'Regional data'!E91*NB_SQ_CR</f>
        <v>0</v>
      </c>
      <c r="K185" s="141">
        <f>Dist_Uroad_LQ_SG*'Regional data'!I91*NB_LQ_SG</f>
        <v>0</v>
      </c>
      <c r="L185" s="142">
        <f>Dist_Uroad_MQ_SG*'Regional data'!J91*NB_MQ_SG</f>
        <v>0</v>
      </c>
      <c r="M185" s="142">
        <f>Dist_Uroad_SQ_SG*'Regional data'!K91*NB_SQ_SG</f>
        <v>0</v>
      </c>
      <c r="N185" s="191">
        <f>Dist_Proad_LQ_SG*'Regional data'!I91*NB_LQ_SG</f>
        <v>0</v>
      </c>
      <c r="O185" s="142">
        <f>Dist_Proad_MQ_SG*'Regional data'!J91*NB_MQ_SG</f>
        <v>0</v>
      </c>
      <c r="P185" s="134">
        <f>Dist_Proad_SQ_SG*'Regional data'!K91*NB_SQ_SG</f>
        <v>0</v>
      </c>
    </row>
    <row r="186" spans="2:16" x14ac:dyDescent="0.25">
      <c r="B186" s="69" t="str">
        <f>IF('Regional data'!B92="","-",'Regional data'!B92)</f>
        <v>-</v>
      </c>
      <c r="C186" s="247">
        <f>1-'Regional data'!V92/365</f>
        <v>1</v>
      </c>
      <c r="D186" s="247">
        <f>1-'Regional data'!V92/(4*365)</f>
        <v>1</v>
      </c>
      <c r="E186" s="141">
        <f>Dist_Uroad_LQ_CR*'Regional data'!C92*NB_LQ_CR</f>
        <v>0</v>
      </c>
      <c r="F186" s="142">
        <f>Dist_Uroad_MQ_CR*'Regional data'!D92*NB_MQ_CR</f>
        <v>0</v>
      </c>
      <c r="G186" s="192">
        <f>Dist_Uroad_SQ_CR*'Regional data'!E92*NB_SQ_CR</f>
        <v>0</v>
      </c>
      <c r="H186" s="142">
        <f>Dist_Proad_LQ_CR*'Regional data'!C92*NB_LQ_CR</f>
        <v>0</v>
      </c>
      <c r="I186" s="142">
        <f>Dist_Proad_MQ_CR*'Regional data'!D92*NB_MQ_CR</f>
        <v>0</v>
      </c>
      <c r="J186" s="134">
        <f>Dist_Proad_SQ_CR*'Regional data'!E92*NB_SQ_CR</f>
        <v>0</v>
      </c>
      <c r="K186" s="141">
        <f>Dist_Uroad_LQ_SG*'Regional data'!I92*NB_LQ_SG</f>
        <v>0</v>
      </c>
      <c r="L186" s="142">
        <f>Dist_Uroad_MQ_SG*'Regional data'!J92*NB_MQ_SG</f>
        <v>0</v>
      </c>
      <c r="M186" s="142">
        <f>Dist_Uroad_SQ_SG*'Regional data'!K92*NB_SQ_SG</f>
        <v>0</v>
      </c>
      <c r="N186" s="191">
        <f>Dist_Proad_LQ_SG*'Regional data'!I92*NB_LQ_SG</f>
        <v>0</v>
      </c>
      <c r="O186" s="142">
        <f>Dist_Proad_MQ_SG*'Regional data'!J92*NB_MQ_SG</f>
        <v>0</v>
      </c>
      <c r="P186" s="134">
        <f>Dist_Proad_SQ_SG*'Regional data'!K92*NB_SQ_SG</f>
        <v>0</v>
      </c>
    </row>
    <row r="187" spans="2:16" x14ac:dyDescent="0.25">
      <c r="B187" s="69" t="str">
        <f>IF('Regional data'!B93="","-",'Regional data'!B93)</f>
        <v>-</v>
      </c>
      <c r="C187" s="247">
        <f>1-'Regional data'!V93/365</f>
        <v>1</v>
      </c>
      <c r="D187" s="247">
        <f>1-'Regional data'!V93/(4*365)</f>
        <v>1</v>
      </c>
      <c r="E187" s="141">
        <f>Dist_Uroad_LQ_CR*'Regional data'!C93*NB_LQ_CR</f>
        <v>0</v>
      </c>
      <c r="F187" s="142">
        <f>Dist_Uroad_MQ_CR*'Regional data'!D93*NB_MQ_CR</f>
        <v>0</v>
      </c>
      <c r="G187" s="192">
        <f>Dist_Uroad_SQ_CR*'Regional data'!E93*NB_SQ_CR</f>
        <v>0</v>
      </c>
      <c r="H187" s="142">
        <f>Dist_Proad_LQ_CR*'Regional data'!C93*NB_LQ_CR</f>
        <v>0</v>
      </c>
      <c r="I187" s="142">
        <f>Dist_Proad_MQ_CR*'Regional data'!D93*NB_MQ_CR</f>
        <v>0</v>
      </c>
      <c r="J187" s="134">
        <f>Dist_Proad_SQ_CR*'Regional data'!E93*NB_SQ_CR</f>
        <v>0</v>
      </c>
      <c r="K187" s="141">
        <f>Dist_Uroad_LQ_SG*'Regional data'!I93*NB_LQ_SG</f>
        <v>0</v>
      </c>
      <c r="L187" s="142">
        <f>Dist_Uroad_MQ_SG*'Regional data'!J93*NB_MQ_SG</f>
        <v>0</v>
      </c>
      <c r="M187" s="142">
        <f>Dist_Uroad_SQ_SG*'Regional data'!K93*NB_SQ_SG</f>
        <v>0</v>
      </c>
      <c r="N187" s="191">
        <f>Dist_Proad_LQ_SG*'Regional data'!I93*NB_LQ_SG</f>
        <v>0</v>
      </c>
      <c r="O187" s="142">
        <f>Dist_Proad_MQ_SG*'Regional data'!J93*NB_MQ_SG</f>
        <v>0</v>
      </c>
      <c r="P187" s="134">
        <f>Dist_Proad_SQ_SG*'Regional data'!K93*NB_SQ_SG</f>
        <v>0</v>
      </c>
    </row>
    <row r="188" spans="2:16" x14ac:dyDescent="0.25">
      <c r="B188" s="69" t="str">
        <f>IF('Regional data'!B94="","-",'Regional data'!B94)</f>
        <v>-</v>
      </c>
      <c r="C188" s="247">
        <f>1-'Regional data'!V94/365</f>
        <v>1</v>
      </c>
      <c r="D188" s="247">
        <f>1-'Regional data'!V94/(4*365)</f>
        <v>1</v>
      </c>
      <c r="E188" s="141">
        <f>Dist_Uroad_LQ_CR*'Regional data'!C94*NB_LQ_CR</f>
        <v>0</v>
      </c>
      <c r="F188" s="142">
        <f>Dist_Uroad_MQ_CR*'Regional data'!D94*NB_MQ_CR</f>
        <v>0</v>
      </c>
      <c r="G188" s="192">
        <f>Dist_Uroad_SQ_CR*'Regional data'!E94*NB_SQ_CR</f>
        <v>0</v>
      </c>
      <c r="H188" s="142">
        <f>Dist_Proad_LQ_CR*'Regional data'!C94*NB_LQ_CR</f>
        <v>0</v>
      </c>
      <c r="I188" s="142">
        <f>Dist_Proad_MQ_CR*'Regional data'!D94*NB_MQ_CR</f>
        <v>0</v>
      </c>
      <c r="J188" s="134">
        <f>Dist_Proad_SQ_CR*'Regional data'!E94*NB_SQ_CR</f>
        <v>0</v>
      </c>
      <c r="K188" s="141">
        <f>Dist_Uroad_LQ_SG*'Regional data'!I94*NB_LQ_SG</f>
        <v>0</v>
      </c>
      <c r="L188" s="142">
        <f>Dist_Uroad_MQ_SG*'Regional data'!J94*NB_MQ_SG</f>
        <v>0</v>
      </c>
      <c r="M188" s="142">
        <f>Dist_Uroad_SQ_SG*'Regional data'!K94*NB_SQ_SG</f>
        <v>0</v>
      </c>
      <c r="N188" s="191">
        <f>Dist_Proad_LQ_SG*'Regional data'!I94*NB_LQ_SG</f>
        <v>0</v>
      </c>
      <c r="O188" s="142">
        <f>Dist_Proad_MQ_SG*'Regional data'!J94*NB_MQ_SG</f>
        <v>0</v>
      </c>
      <c r="P188" s="134">
        <f>Dist_Proad_SQ_SG*'Regional data'!K94*NB_SQ_SG</f>
        <v>0</v>
      </c>
    </row>
    <row r="189" spans="2:16" x14ac:dyDescent="0.25">
      <c r="B189" s="69" t="str">
        <f>IF('Regional data'!B95="","-",'Regional data'!B95)</f>
        <v>-</v>
      </c>
      <c r="C189" s="247">
        <f>1-'Regional data'!V95/365</f>
        <v>1</v>
      </c>
      <c r="D189" s="247">
        <f>1-'Regional data'!V95/(4*365)</f>
        <v>1</v>
      </c>
      <c r="E189" s="141">
        <f>Dist_Uroad_LQ_CR*'Regional data'!C95*NB_LQ_CR</f>
        <v>0</v>
      </c>
      <c r="F189" s="142">
        <f>Dist_Uroad_MQ_CR*'Regional data'!D95*NB_MQ_CR</f>
        <v>0</v>
      </c>
      <c r="G189" s="192">
        <f>Dist_Uroad_SQ_CR*'Regional data'!E95*NB_SQ_CR</f>
        <v>0</v>
      </c>
      <c r="H189" s="142">
        <f>Dist_Proad_LQ_CR*'Regional data'!C95*NB_LQ_CR</f>
        <v>0</v>
      </c>
      <c r="I189" s="142">
        <f>Dist_Proad_MQ_CR*'Regional data'!D95*NB_MQ_CR</f>
        <v>0</v>
      </c>
      <c r="J189" s="134">
        <f>Dist_Proad_SQ_CR*'Regional data'!E95*NB_SQ_CR</f>
        <v>0</v>
      </c>
      <c r="K189" s="141">
        <f>Dist_Uroad_LQ_SG*'Regional data'!I95*NB_LQ_SG</f>
        <v>0</v>
      </c>
      <c r="L189" s="142">
        <f>Dist_Uroad_MQ_SG*'Regional data'!J95*NB_MQ_SG</f>
        <v>0</v>
      </c>
      <c r="M189" s="142">
        <f>Dist_Uroad_SQ_SG*'Regional data'!K95*NB_SQ_SG</f>
        <v>0</v>
      </c>
      <c r="N189" s="191">
        <f>Dist_Proad_LQ_SG*'Regional data'!I95*NB_LQ_SG</f>
        <v>0</v>
      </c>
      <c r="O189" s="142">
        <f>Dist_Proad_MQ_SG*'Regional data'!J95*NB_MQ_SG</f>
        <v>0</v>
      </c>
      <c r="P189" s="134">
        <f>Dist_Proad_SQ_SG*'Regional data'!K95*NB_SQ_SG</f>
        <v>0</v>
      </c>
    </row>
    <row r="190" spans="2:16" x14ac:dyDescent="0.25">
      <c r="B190" s="69" t="str">
        <f>IF('Regional data'!B96="","-",'Regional data'!B96)</f>
        <v>-</v>
      </c>
      <c r="C190" s="247">
        <f>1-'Regional data'!V96/365</f>
        <v>1</v>
      </c>
      <c r="D190" s="247">
        <f>1-'Regional data'!V96/(4*365)</f>
        <v>1</v>
      </c>
      <c r="E190" s="141">
        <f>Dist_Uroad_LQ_CR*'Regional data'!C96*NB_LQ_CR</f>
        <v>0</v>
      </c>
      <c r="F190" s="142">
        <f>Dist_Uroad_MQ_CR*'Regional data'!D96*NB_MQ_CR</f>
        <v>0</v>
      </c>
      <c r="G190" s="192">
        <f>Dist_Uroad_SQ_CR*'Regional data'!E96*NB_SQ_CR</f>
        <v>0</v>
      </c>
      <c r="H190" s="142">
        <f>Dist_Proad_LQ_CR*'Regional data'!C96*NB_LQ_CR</f>
        <v>0</v>
      </c>
      <c r="I190" s="142">
        <f>Dist_Proad_MQ_CR*'Regional data'!D96*NB_MQ_CR</f>
        <v>0</v>
      </c>
      <c r="J190" s="134">
        <f>Dist_Proad_SQ_CR*'Regional data'!E96*NB_SQ_CR</f>
        <v>0</v>
      </c>
      <c r="K190" s="141">
        <f>Dist_Uroad_LQ_SG*'Regional data'!I96*NB_LQ_SG</f>
        <v>0</v>
      </c>
      <c r="L190" s="142">
        <f>Dist_Uroad_MQ_SG*'Regional data'!J96*NB_MQ_SG</f>
        <v>0</v>
      </c>
      <c r="M190" s="142">
        <f>Dist_Uroad_SQ_SG*'Regional data'!K96*NB_SQ_SG</f>
        <v>0</v>
      </c>
      <c r="N190" s="191">
        <f>Dist_Proad_LQ_SG*'Regional data'!I96*NB_LQ_SG</f>
        <v>0</v>
      </c>
      <c r="O190" s="142">
        <f>Dist_Proad_MQ_SG*'Regional data'!J96*NB_MQ_SG</f>
        <v>0</v>
      </c>
      <c r="P190" s="134">
        <f>Dist_Proad_SQ_SG*'Regional data'!K96*NB_SQ_SG</f>
        <v>0</v>
      </c>
    </row>
    <row r="191" spans="2:16" x14ac:dyDescent="0.25">
      <c r="B191" s="69" t="str">
        <f>IF('Regional data'!B97="","-",'Regional data'!B97)</f>
        <v>-</v>
      </c>
      <c r="C191" s="247">
        <f>1-'Regional data'!V97/365</f>
        <v>1</v>
      </c>
      <c r="D191" s="247">
        <f>1-'Regional data'!V97/(4*365)</f>
        <v>1</v>
      </c>
      <c r="E191" s="141">
        <f>Dist_Uroad_LQ_CR*'Regional data'!C97*NB_LQ_CR</f>
        <v>0</v>
      </c>
      <c r="F191" s="142">
        <f>Dist_Uroad_MQ_CR*'Regional data'!D97*NB_MQ_CR</f>
        <v>0</v>
      </c>
      <c r="G191" s="192">
        <f>Dist_Uroad_SQ_CR*'Regional data'!E97*NB_SQ_CR</f>
        <v>0</v>
      </c>
      <c r="H191" s="142">
        <f>Dist_Proad_LQ_CR*'Regional data'!C97*NB_LQ_CR</f>
        <v>0</v>
      </c>
      <c r="I191" s="142">
        <f>Dist_Proad_MQ_CR*'Regional data'!D97*NB_MQ_CR</f>
        <v>0</v>
      </c>
      <c r="J191" s="134">
        <f>Dist_Proad_SQ_CR*'Regional data'!E97*NB_SQ_CR</f>
        <v>0</v>
      </c>
      <c r="K191" s="141">
        <f>Dist_Uroad_LQ_SG*'Regional data'!I97*NB_LQ_SG</f>
        <v>0</v>
      </c>
      <c r="L191" s="142">
        <f>Dist_Uroad_MQ_SG*'Regional data'!J97*NB_MQ_SG</f>
        <v>0</v>
      </c>
      <c r="M191" s="142">
        <f>Dist_Uroad_SQ_SG*'Regional data'!K97*NB_SQ_SG</f>
        <v>0</v>
      </c>
      <c r="N191" s="191">
        <f>Dist_Proad_LQ_SG*'Regional data'!I97*NB_LQ_SG</f>
        <v>0</v>
      </c>
      <c r="O191" s="142">
        <f>Dist_Proad_MQ_SG*'Regional data'!J97*NB_MQ_SG</f>
        <v>0</v>
      </c>
      <c r="P191" s="134">
        <f>Dist_Proad_SQ_SG*'Regional data'!K97*NB_SQ_SG</f>
        <v>0</v>
      </c>
    </row>
    <row r="192" spans="2:16" ht="15.75" thickBot="1" x14ac:dyDescent="0.3">
      <c r="B192" s="70" t="str">
        <f>IF('Regional data'!B98="","-",'Regional data'!B98)</f>
        <v>-</v>
      </c>
      <c r="C192" s="248">
        <f>1-'Regional data'!V98/365</f>
        <v>1</v>
      </c>
      <c r="D192" s="248">
        <f>1-'Regional data'!V98/(4*365)</f>
        <v>1</v>
      </c>
      <c r="E192" s="143">
        <f>Dist_Uroad_LQ_CR*'Regional data'!C98*NB_LQ_CR</f>
        <v>0</v>
      </c>
      <c r="F192" s="144">
        <f>Dist_Uroad_MQ_CR*'Regional data'!D98*NB_MQ_CR</f>
        <v>0</v>
      </c>
      <c r="G192" s="249">
        <f>Dist_Uroad_SQ_CR*'Regional data'!E98*NB_SQ_CR</f>
        <v>0</v>
      </c>
      <c r="H192" s="144">
        <f>Dist_Proad_LQ_CR*'Regional data'!C98*NB_LQ_CR</f>
        <v>0</v>
      </c>
      <c r="I192" s="144">
        <f>Dist_Proad_MQ_CR*'Regional data'!D98*NB_MQ_CR</f>
        <v>0</v>
      </c>
      <c r="J192" s="250">
        <f>Dist_Proad_SQ_CR*'Regional data'!E98*NB_SQ_CR</f>
        <v>0</v>
      </c>
      <c r="K192" s="143">
        <f>Dist_Uroad_LQ_SG*'Regional data'!I98*NB_LQ_SG</f>
        <v>0</v>
      </c>
      <c r="L192" s="144">
        <f>Dist_Uroad_MQ_SG*'Regional data'!J98*NB_MQ_SG</f>
        <v>0</v>
      </c>
      <c r="M192" s="144">
        <f>Dist_Uroad_SQ_SG*'Regional data'!K98*NB_SQ_SG</f>
        <v>0</v>
      </c>
      <c r="N192" s="251">
        <f>Dist_Proad_LQ_SG*'Regional data'!I98*NB_LQ_SG</f>
        <v>0</v>
      </c>
      <c r="O192" s="144">
        <f>Dist_Proad_MQ_SG*'Regional data'!J98*NB_MQ_SG</f>
        <v>0</v>
      </c>
      <c r="P192" s="250">
        <f>Dist_Proad_SQ_SG*'Regional data'!K98*NB_SQ_SG</f>
        <v>0</v>
      </c>
    </row>
    <row r="193" ht="15.75" thickTop="1" x14ac:dyDescent="0.25"/>
  </sheetData>
  <mergeCells count="42">
    <mergeCell ref="B3:F51"/>
    <mergeCell ref="B91:C91"/>
    <mergeCell ref="B74:F74"/>
    <mergeCell ref="A53:F53"/>
    <mergeCell ref="A1:F1"/>
    <mergeCell ref="B86:C86"/>
    <mergeCell ref="B87:C87"/>
    <mergeCell ref="B88:C88"/>
    <mergeCell ref="B89:C89"/>
    <mergeCell ref="B90:C90"/>
    <mergeCell ref="B80:C80"/>
    <mergeCell ref="B81:C81"/>
    <mergeCell ref="B82:C82"/>
    <mergeCell ref="B83:C83"/>
    <mergeCell ref="B84:C84"/>
    <mergeCell ref="B75:C75"/>
    <mergeCell ref="K95:P95"/>
    <mergeCell ref="B93:O93"/>
    <mergeCell ref="B57:C57"/>
    <mergeCell ref="B58:C58"/>
    <mergeCell ref="B59:C59"/>
    <mergeCell ref="B60:C60"/>
    <mergeCell ref="B61:C61"/>
    <mergeCell ref="B62:C62"/>
    <mergeCell ref="B76:C76"/>
    <mergeCell ref="B65:C65"/>
    <mergeCell ref="B77:C77"/>
    <mergeCell ref="B78:C78"/>
    <mergeCell ref="B79:C79"/>
    <mergeCell ref="B69:C69"/>
    <mergeCell ref="B70:C70"/>
    <mergeCell ref="B71:C71"/>
    <mergeCell ref="B55:F55"/>
    <mergeCell ref="B56:C56"/>
    <mergeCell ref="B63:C63"/>
    <mergeCell ref="B64:C64"/>
    <mergeCell ref="E95:J95"/>
    <mergeCell ref="B66:C66"/>
    <mergeCell ref="B85:C85"/>
    <mergeCell ref="B72:C72"/>
    <mergeCell ref="B67:C67"/>
    <mergeCell ref="B68:C68"/>
  </mergeCells>
  <pageMargins left="0.7" right="0.7" top="0.75" bottom="0.75" header="0.3" footer="0.3"/>
  <pageSetup paperSize="9" orientation="portrait" r:id="rId1"/>
  <rowBreaks count="2" manualBreakCount="2">
    <brk id="32" max="16383" man="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W145"/>
  <sheetViews>
    <sheetView zoomScale="80" zoomScaleNormal="80" zoomScaleSheetLayoutView="85" workbookViewId="0">
      <selection sqref="A1:G1"/>
    </sheetView>
  </sheetViews>
  <sheetFormatPr baseColWidth="10" defaultRowHeight="15" x14ac:dyDescent="0.25"/>
  <cols>
    <col min="1" max="1" width="2.5703125" style="51" customWidth="1"/>
    <col min="2" max="2" width="15.85546875" customWidth="1"/>
    <col min="3" max="3" width="18.7109375" bestFit="1" customWidth="1"/>
    <col min="4" max="4" width="16.28515625" bestFit="1" customWidth="1"/>
    <col min="5" max="5" width="16.42578125" bestFit="1" customWidth="1"/>
    <col min="6" max="6" width="13.5703125" bestFit="1" customWidth="1"/>
    <col min="8" max="8" width="24.42578125" customWidth="1"/>
    <col min="9" max="9" width="18.7109375" bestFit="1" customWidth="1"/>
    <col min="10" max="10" width="16.28515625" bestFit="1" customWidth="1"/>
    <col min="11" max="11" width="16.28515625" customWidth="1"/>
    <col min="12" max="12" width="13.5703125" bestFit="1" customWidth="1"/>
    <col min="15" max="15" width="18.7109375" style="51" bestFit="1" customWidth="1"/>
    <col min="16" max="16" width="16.28515625" style="51" bestFit="1" customWidth="1"/>
    <col min="17" max="17" width="16.28515625" style="51" customWidth="1"/>
    <col min="18" max="18" width="13.5703125" style="51" bestFit="1" customWidth="1"/>
    <col min="19" max="20" width="11.42578125" style="51"/>
  </cols>
  <sheetData>
    <row r="1" spans="1:23" s="51" customFormat="1" x14ac:dyDescent="0.25">
      <c r="A1" s="309" t="s">
        <v>269</v>
      </c>
      <c r="B1" s="309"/>
      <c r="C1" s="309"/>
      <c r="D1" s="309"/>
      <c r="E1" s="309"/>
      <c r="F1" s="309"/>
      <c r="G1" s="309"/>
    </row>
    <row r="2" spans="1:23" s="51" customFormat="1" ht="22.5" customHeight="1" x14ac:dyDescent="0.25">
      <c r="B2" s="64" t="s">
        <v>123</v>
      </c>
    </row>
    <row r="3" spans="1:23" s="51" customFormat="1" ht="15" customHeight="1" x14ac:dyDescent="0.25">
      <c r="B3" s="346" t="s">
        <v>404</v>
      </c>
      <c r="C3" s="346"/>
      <c r="D3" s="346"/>
      <c r="E3" s="346"/>
      <c r="F3" s="346"/>
      <c r="G3" s="346"/>
      <c r="H3" s="65"/>
    </row>
    <row r="4" spans="1:23" s="51" customFormat="1" x14ac:dyDescent="0.25">
      <c r="B4" s="346"/>
      <c r="C4" s="346"/>
      <c r="D4" s="346"/>
      <c r="E4" s="346"/>
      <c r="F4" s="346"/>
      <c r="G4" s="346"/>
      <c r="H4" s="65"/>
    </row>
    <row r="5" spans="1:23" s="51" customFormat="1" x14ac:dyDescent="0.25">
      <c r="B5" s="346"/>
      <c r="C5" s="346"/>
      <c r="D5" s="346"/>
      <c r="E5" s="346"/>
      <c r="F5" s="346"/>
      <c r="G5" s="346"/>
      <c r="H5" s="65"/>
    </row>
    <row r="6" spans="1:23" s="51" customFormat="1" x14ac:dyDescent="0.25">
      <c r="B6" s="346"/>
      <c r="C6" s="346"/>
      <c r="D6" s="346"/>
      <c r="E6" s="346"/>
      <c r="F6" s="346"/>
      <c r="G6" s="346"/>
      <c r="H6" s="65"/>
    </row>
    <row r="7" spans="1:23" s="51" customFormat="1" x14ac:dyDescent="0.25">
      <c r="B7" s="346"/>
      <c r="C7" s="346"/>
      <c r="D7" s="346"/>
      <c r="E7" s="346"/>
      <c r="F7" s="346"/>
      <c r="G7" s="346"/>
      <c r="H7" s="65"/>
    </row>
    <row r="8" spans="1:23" s="51" customFormat="1" x14ac:dyDescent="0.25">
      <c r="B8" s="346"/>
      <c r="C8" s="346"/>
      <c r="D8" s="346"/>
      <c r="E8" s="346"/>
      <c r="F8" s="346"/>
      <c r="G8" s="346"/>
      <c r="H8" s="65"/>
    </row>
    <row r="9" spans="1:23" s="51" customFormat="1" x14ac:dyDescent="0.25">
      <c r="B9" s="346"/>
      <c r="C9" s="346"/>
      <c r="D9" s="346"/>
      <c r="E9" s="346"/>
      <c r="F9" s="346"/>
      <c r="G9" s="346"/>
      <c r="H9" s="65"/>
    </row>
    <row r="10" spans="1:23" s="51" customFormat="1" x14ac:dyDescent="0.25">
      <c r="B10" s="346"/>
      <c r="C10" s="346"/>
      <c r="D10" s="346"/>
      <c r="E10" s="346"/>
      <c r="F10" s="346"/>
      <c r="G10" s="346"/>
      <c r="H10" s="65"/>
    </row>
    <row r="11" spans="1:23" s="51" customFormat="1" x14ac:dyDescent="0.25">
      <c r="B11" s="346"/>
      <c r="C11" s="346"/>
      <c r="D11" s="346"/>
      <c r="E11" s="346"/>
      <c r="F11" s="346"/>
      <c r="G11" s="346"/>
      <c r="H11" s="65"/>
    </row>
    <row r="12" spans="1:23" s="51" customFormat="1" x14ac:dyDescent="0.25">
      <c r="B12" s="346"/>
      <c r="C12" s="346"/>
      <c r="D12" s="346"/>
      <c r="E12" s="346"/>
      <c r="F12" s="346"/>
      <c r="G12" s="346"/>
      <c r="H12" s="65"/>
    </row>
    <row r="13" spans="1:23" s="51" customFormat="1" x14ac:dyDescent="0.25">
      <c r="B13" s="346"/>
      <c r="C13" s="346"/>
      <c r="D13" s="346"/>
      <c r="E13" s="346"/>
      <c r="F13" s="346"/>
      <c r="G13" s="346"/>
      <c r="H13" s="65"/>
    </row>
    <row r="14" spans="1:23" s="51" customFormat="1" ht="96" customHeight="1" x14ac:dyDescent="0.25">
      <c r="B14" s="346"/>
      <c r="C14" s="346"/>
      <c r="D14" s="346"/>
      <c r="E14" s="346"/>
      <c r="F14" s="346"/>
      <c r="G14" s="346"/>
      <c r="H14" s="65"/>
    </row>
    <row r="15" spans="1:23" ht="7.5" customHeight="1" x14ac:dyDescent="0.25"/>
    <row r="16" spans="1:23" x14ac:dyDescent="0.25">
      <c r="A16" s="309" t="s">
        <v>270</v>
      </c>
      <c r="B16" s="309"/>
      <c r="C16" s="309"/>
      <c r="D16" s="309"/>
      <c r="E16" s="309"/>
      <c r="F16" s="309"/>
      <c r="G16" s="309"/>
      <c r="H16" s="10"/>
      <c r="I16" s="10"/>
      <c r="J16" s="10"/>
      <c r="K16" s="10"/>
      <c r="L16" s="10"/>
      <c r="M16" s="10"/>
      <c r="N16" s="10"/>
      <c r="O16" s="10"/>
      <c r="P16" s="10"/>
      <c r="Q16" s="10"/>
      <c r="R16" s="10"/>
      <c r="S16" s="10"/>
      <c r="T16" s="10"/>
      <c r="U16" s="10"/>
      <c r="V16" s="17"/>
      <c r="W16" s="17"/>
    </row>
    <row r="17" spans="3:16" ht="15.75" thickBot="1" x14ac:dyDescent="0.3"/>
    <row r="18" spans="3:16" ht="15.75" thickTop="1" x14ac:dyDescent="0.25">
      <c r="C18" s="348" t="s">
        <v>2</v>
      </c>
      <c r="D18" s="349"/>
      <c r="E18" s="349"/>
      <c r="F18" s="350"/>
    </row>
    <row r="19" spans="3:16" x14ac:dyDescent="0.25">
      <c r="C19" s="38"/>
      <c r="D19" s="39" t="s">
        <v>31</v>
      </c>
      <c r="E19" s="40" t="s">
        <v>32</v>
      </c>
      <c r="F19" s="39" t="s">
        <v>33</v>
      </c>
    </row>
    <row r="20" spans="3:16" x14ac:dyDescent="0.25">
      <c r="C20" s="36" t="s">
        <v>321</v>
      </c>
      <c r="D20" s="77">
        <f>SUMPRODUCT(C49:C144,$F$49:$F$144)*NB_Hand_Oper_CR</f>
        <v>305.50311085863495</v>
      </c>
      <c r="E20" s="77">
        <f>SUMPRODUCT(D49:D144,$F$49:$F$144)*NB_Hand_Oper_CR</f>
        <v>419.70073506091256</v>
      </c>
      <c r="F20" s="77">
        <f>SUMPRODUCT(E49:E144,$F$49:$F$144)*NB_Hand_Oper_CR</f>
        <v>122.33634014721534</v>
      </c>
    </row>
    <row r="21" spans="3:16" x14ac:dyDescent="0.25">
      <c r="C21" s="34" t="s">
        <v>322</v>
      </c>
      <c r="D21" s="78">
        <f>SUMPRODUCT(C49:C144,$G$49:$G$144)*NB_Hand_Oper_CR</f>
        <v>144.49471459530028</v>
      </c>
      <c r="E21" s="78">
        <f>SUMPRODUCT(D49:D144,$G$49:$G$144)*NB_Hand_Oper_CR</f>
        <v>198.50710442070184</v>
      </c>
      <c r="F21" s="78">
        <f>SUMPRODUCT(E49:E144,$G$49:$G$144)*NB_Hand_Oper_CR</f>
        <v>57.861782502061303</v>
      </c>
    </row>
    <row r="22" spans="3:16" x14ac:dyDescent="0.25">
      <c r="C22" s="37" t="s">
        <v>323</v>
      </c>
      <c r="D22" s="79">
        <f>SUMPRODUCT(C49:C144,$H$49:$H$144)*NB_Hand_Oper_CR</f>
        <v>21.880628210145478</v>
      </c>
      <c r="E22" s="79">
        <f>SUMPRODUCT(D49:D144,$H$49:$H$144)*NB_Hand_Oper_CR</f>
        <v>30.059647240849138</v>
      </c>
      <c r="F22" s="79">
        <f>SUMPRODUCT(E49:E144,$H$49:$H$144)*NB_Hand_Oper_CR</f>
        <v>8.7619270645978542</v>
      </c>
    </row>
    <row r="23" spans="3:16" x14ac:dyDescent="0.25">
      <c r="C23" s="34" t="s">
        <v>309</v>
      </c>
      <c r="D23" s="57">
        <f>IF(D20&gt;0,D20*10^6/(Prod_CR*Size_dist_LQ_CR*10^3),AVERAGE($F$49:$F$144)*1000*NB_Hand_Oper_CR)</f>
        <v>4.3643301551233566</v>
      </c>
      <c r="E23" s="57">
        <f>IF(E20&gt;0,E20*10^6/(Prod_CR*Size_dist_MQ_CR*10^3),AVERAGE($F$49:$F$144)*1000*NB_Hand_Oper_CR)</f>
        <v>4.1970073506091259</v>
      </c>
      <c r="F23" s="57">
        <f>IF(F20&gt;0,F20*10^6/(Prod_CR*Size_dist_SQ_CR*10^3),AVERAGE($F$49:$F$144)*1000*NB_Hand_Oper_CR)</f>
        <v>4.0778780049071779</v>
      </c>
      <c r="H23" s="42"/>
    </row>
    <row r="24" spans="3:16" x14ac:dyDescent="0.25">
      <c r="C24" s="34" t="s">
        <v>310</v>
      </c>
      <c r="D24" s="57">
        <f>IF(D21&gt;0,D21*10^6/(Prod_CR*Size_dist_LQ_CR*10^3),AVERAGE($G$49:$G$144)*1000*NB_Hand_Oper_CR)</f>
        <v>2.0642102085042899</v>
      </c>
      <c r="E24" s="57">
        <f>IF(E21&gt;0,E21*10^6/(Prod_CR*Size_dist_MQ_CR*10^3),AVERAGE($G$49:$G$144)*1000*NB_Hand_Oper_CR)</f>
        <v>1.9850710442070183</v>
      </c>
      <c r="F24" s="57">
        <f>IF(F21&gt;0,F21*10^6/(Prod_CR*Size_dist_SQ_CR*10^3),AVERAGE($G$49:$G$144)*1000*NB_Hand_Oper_CR)</f>
        <v>1.9287260834020434</v>
      </c>
      <c r="H24" s="42"/>
    </row>
    <row r="25" spans="3:16" ht="15.75" thickBot="1" x14ac:dyDescent="0.3">
      <c r="C25" s="35" t="s">
        <v>311</v>
      </c>
      <c r="D25" s="58">
        <f>IF(D22&gt;0,D22*10^6/(Prod_CR*Size_dist_LQ_CR*10^3),AVERAGE($H$49:$H$144)*1000*NB_Hand_Oper_CR)</f>
        <v>0.31258040300207823</v>
      </c>
      <c r="E25" s="58">
        <f>IF(E22&gt;0,E22*10^6/(Prod_CR*Size_dist_MQ_CR*10^3),AVERAGE($H$49:$H$144)*1000*NB_Hand_Oper_CR)</f>
        <v>0.30059647240849136</v>
      </c>
      <c r="F25" s="58">
        <f>IF(F22&gt;0,F22*10^6/(Prod_CR*Size_dist_SQ_CR*10^3),AVERAGE($H$49:$H$144)*1000*NB_Hand_Oper_CR)</f>
        <v>0.29206423548659516</v>
      </c>
      <c r="H25" s="42"/>
    </row>
    <row r="26" spans="3:16" ht="16.5" thickTop="1" thickBot="1" x14ac:dyDescent="0.3">
      <c r="P26" s="55"/>
    </row>
    <row r="27" spans="3:16" s="51" customFormat="1" ht="15.75" thickTop="1" x14ac:dyDescent="0.25">
      <c r="C27" s="348" t="s">
        <v>4</v>
      </c>
      <c r="D27" s="349"/>
      <c r="E27" s="349"/>
      <c r="F27" s="350"/>
      <c r="G27"/>
      <c r="P27" s="55"/>
    </row>
    <row r="28" spans="3:16" s="51" customFormat="1" x14ac:dyDescent="0.25">
      <c r="C28" s="38"/>
      <c r="D28" s="39" t="s">
        <v>31</v>
      </c>
      <c r="E28" s="40" t="s">
        <v>32</v>
      </c>
      <c r="F28" s="39" t="s">
        <v>33</v>
      </c>
      <c r="G28"/>
      <c r="P28" s="55"/>
    </row>
    <row r="29" spans="3:16" s="51" customFormat="1" x14ac:dyDescent="0.25">
      <c r="C29" s="36" t="s">
        <v>321</v>
      </c>
      <c r="D29" s="77">
        <f>SUMPRODUCT(I49:I144,$L$49:$L$144)*NB_Hand_Oper_SG</f>
        <v>35.154352891828033</v>
      </c>
      <c r="E29" s="77">
        <f>SUMPRODUCT(J49:J144,$L$49:$L$144)*NB_Hand_Oper_SG</f>
        <v>112.68860073116929</v>
      </c>
      <c r="F29" s="77">
        <f>SUMPRODUCT(K49:K144,$L$49:$L$144)*NB_Hand_Oper_SG</f>
        <v>76.643005254945848</v>
      </c>
      <c r="G29"/>
      <c r="P29" s="55"/>
    </row>
    <row r="30" spans="3:16" s="51" customFormat="1" x14ac:dyDescent="0.25">
      <c r="C30" s="34" t="s">
        <v>322</v>
      </c>
      <c r="D30" s="78">
        <f>SUMPRODUCT(I49:I144,$M$49:$M$144)*NB_Hand_Oper_SG</f>
        <v>16.627058800188934</v>
      </c>
      <c r="E30" s="78">
        <f>SUMPRODUCT(J49:J144,$M$49:$M$144)*NB_Hand_Oper_SG</f>
        <v>53.298662507985469</v>
      </c>
      <c r="F30" s="78">
        <f>SUMPRODUCT(K49:K144,$M$49:$M$144)*NB_Hand_Oper_SG</f>
        <v>36.250070053014923</v>
      </c>
      <c r="G30"/>
      <c r="P30" s="55"/>
    </row>
    <row r="31" spans="3:16" s="51" customFormat="1" x14ac:dyDescent="0.25">
      <c r="C31" s="37" t="s">
        <v>323</v>
      </c>
      <c r="D31" s="79">
        <f>SUMPRODUCT(I49:I144,$N$49:$N$144)*NB_Hand_Oper_SG</f>
        <v>2.5178117611714672</v>
      </c>
      <c r="E31" s="79">
        <f>SUMPRODUCT(J49:J144,$N$49:$N$144)*NB_Hand_Oper_SG</f>
        <v>8.0709403226378011</v>
      </c>
      <c r="F31" s="79">
        <f>SUMPRODUCT(K49:K144,$N$49:$N$144)*NB_Hand_Oper_SG</f>
        <v>5.489296322313689</v>
      </c>
      <c r="G31"/>
      <c r="P31" s="55"/>
    </row>
    <row r="32" spans="3:16" s="51" customFormat="1" x14ac:dyDescent="0.25">
      <c r="C32" s="34" t="s">
        <v>309</v>
      </c>
      <c r="D32" s="57">
        <f>IF(D29&gt;0,D29*10^6/(Prod_SG*Size_dist_LQ_SG*10^3),AVERAGE($L$49:$L$144)*1000*NB_Hand_Oper_SG)</f>
        <v>0.93744941044874752</v>
      </c>
      <c r="E32" s="57">
        <f>IF(E29&gt;0,E29*10^6/(Prod_SG*Size_dist_MQ_SG*10^3),AVERAGE($L$49:$L$144)*1000*NB_Hand_Oper_SG)</f>
        <v>0.90150880584935422</v>
      </c>
      <c r="F32" s="57">
        <f>IF(F29&gt;0,F29*10^6/(Prod_SG*Size_dist_SQ_SG*10^3),AVERAGE($L$49:$L$144)*1000*NB_Hand_Oper_SG)</f>
        <v>0.8759200600565239</v>
      </c>
      <c r="H32" s="42"/>
      <c r="P32" s="55"/>
    </row>
    <row r="33" spans="1:20" s="51" customFormat="1" x14ac:dyDescent="0.25">
      <c r="C33" s="34" t="s">
        <v>310</v>
      </c>
      <c r="D33" s="57">
        <f>IF(D30&gt;0,D30*10^6/(Prod_SG*Size_dist_LQ_SG*10^3),AVERAGE($M$49:$M$144)*1000*NB_Hand_Oper_SG)</f>
        <v>0.44338823467170491</v>
      </c>
      <c r="E33" s="57">
        <f>IF(E30&gt;0,E30*10^6/(Prod_SG*Size_dist_MQ_SG*10^3),AVERAGE($M$49:$M$144)*1000*NB_Hand_Oper_SG)</f>
        <v>0.42638930006388376</v>
      </c>
      <c r="F33" s="57">
        <f>IF(F30&gt;0,F30*10^6/(Prod_SG*Size_dist_SQ_SG*10^3),AVERAGE($M$49:$M$144)*1000*NB_Hand_Oper_SG)</f>
        <v>0.41428651489159918</v>
      </c>
      <c r="H33" s="42"/>
      <c r="P33" s="55"/>
    </row>
    <row r="34" spans="1:20" s="51" customFormat="1" ht="15.75" thickBot="1" x14ac:dyDescent="0.3">
      <c r="C34" s="35" t="s">
        <v>311</v>
      </c>
      <c r="D34" s="58">
        <f>IF(D31&gt;0,D31*10^6/(Prod_SG*Size_dist_LQ_SG*10^3),AVERAGE($N$49:$N$144)*1000*NB_Hand_Oper_SG)</f>
        <v>6.7141646964572463E-2</v>
      </c>
      <c r="E34" s="58">
        <f>IF(E31&gt;0,E31*10^6/(Prod_SG*Size_dist_MQ_SG*10^3),AVERAGE($N$49:$N$144)*1000*NB_Hand_Oper_SG)</f>
        <v>6.4567522581102404E-2</v>
      </c>
      <c r="F34" s="58">
        <f>IF(F31&gt;0,F31*10^6/(Prod_SG*Size_dist_SQ_SG*10^3),AVERAGE($N$49:$N$144)*1000*NB_Hand_Oper_SG)</f>
        <v>6.2734815112156436E-2</v>
      </c>
      <c r="H34" s="42"/>
      <c r="P34" s="55"/>
    </row>
    <row r="35" spans="1:20" s="51" customFormat="1" ht="16.5" thickTop="1" thickBot="1" x14ac:dyDescent="0.3">
      <c r="P35" s="55"/>
    </row>
    <row r="36" spans="1:20" s="51" customFormat="1" ht="15.75" thickTop="1" x14ac:dyDescent="0.25">
      <c r="C36" s="348" t="s">
        <v>124</v>
      </c>
      <c r="D36" s="349"/>
      <c r="E36" s="349"/>
      <c r="F36" s="350"/>
      <c r="P36" s="55"/>
    </row>
    <row r="37" spans="1:20" s="51" customFormat="1" x14ac:dyDescent="0.25">
      <c r="C37" s="38"/>
      <c r="D37" s="39" t="s">
        <v>31</v>
      </c>
      <c r="E37" s="40" t="s">
        <v>32</v>
      </c>
      <c r="F37" s="39" t="s">
        <v>33</v>
      </c>
      <c r="P37" s="55"/>
    </row>
    <row r="38" spans="1:20" s="51" customFormat="1" x14ac:dyDescent="0.25">
      <c r="C38" s="36" t="s">
        <v>321</v>
      </c>
      <c r="D38" s="77">
        <f>SUMPRODUCT(O49:O144,$R$49:$R$144)*NB_Hand_Oper_RA</f>
        <v>0</v>
      </c>
      <c r="E38" s="77">
        <f>SUMPRODUCT(P49:P144,$R$49:$R$144)*NB_Hand_Oper_RA</f>
        <v>25.182044103654746</v>
      </c>
      <c r="F38" s="77">
        <f>SUMPRODUCT(Q49:Q144,$R$49:$R$144)*NB_Hand_Oper_RA</f>
        <v>97.869072117772276</v>
      </c>
      <c r="P38" s="55"/>
    </row>
    <row r="39" spans="1:20" s="51" customFormat="1" x14ac:dyDescent="0.25">
      <c r="C39" s="34" t="s">
        <v>322</v>
      </c>
      <c r="D39" s="78">
        <f>SUMPRODUCT(O49:O144,$S$49:$S$144)*NB_Hand_Oper_RA</f>
        <v>0</v>
      </c>
      <c r="E39" s="78">
        <f>SUMPRODUCT(P49:P144,$S$49:$S$144)*NB_Hand_Oper_RA</f>
        <v>11.91042626524211</v>
      </c>
      <c r="F39" s="78">
        <f>SUMPRODUCT(Q49:Q144,$S$49:$S$144)*NB_Hand_Oper_RA</f>
        <v>46.289426001649041</v>
      </c>
      <c r="P39" s="55"/>
    </row>
    <row r="40" spans="1:20" s="51" customFormat="1" x14ac:dyDescent="0.25">
      <c r="C40" s="37" t="s">
        <v>323</v>
      </c>
      <c r="D40" s="79">
        <f>SUMPRODUCT(O49:O144,$T$49:$T$144)*NB_Hand_Oper_RA</f>
        <v>0</v>
      </c>
      <c r="E40" s="79">
        <f>SUMPRODUCT(P49:P144,$T$49:$T$144)*NB_Hand_Oper_RA</f>
        <v>1.8035788344509482</v>
      </c>
      <c r="F40" s="79">
        <f>SUMPRODUCT(Q49:Q144,$T$49:$T$144)*NB_Hand_Oper_RA</f>
        <v>7.0095416516782834</v>
      </c>
      <c r="P40" s="55"/>
    </row>
    <row r="41" spans="1:20" s="51" customFormat="1" x14ac:dyDescent="0.25">
      <c r="C41" s="34" t="s">
        <v>309</v>
      </c>
      <c r="D41" s="57">
        <f>IF(D38&gt;0,IF(D38&gt;0,D38*10^6/(Prod_RA*Size_dist_LQ_RA*10^3),0),AVERAGE($R$49:$R$144)*1000*NB_Hand_Oper_RA)</f>
        <v>0.21060341950302058</v>
      </c>
      <c r="E41" s="57">
        <f>IF(E38&gt;0,E38*10^6/(Prod_RA*Size_dist_MQ_RA*10^3),AVERAGE($R$49:$R$144)*1000*NB_Hand_Oper_RA)</f>
        <v>4.197007350609125</v>
      </c>
      <c r="F41" s="57">
        <f>IF(F38&gt;0,F38*10^6/(Prod_RA*Size_dist_SQ_RA*10^3),AVERAGE($R$49:$R$144)*1000*NB_Hand_Oper_RA)</f>
        <v>4.0778780049071788</v>
      </c>
      <c r="H41" s="42"/>
      <c r="P41" s="55"/>
    </row>
    <row r="42" spans="1:20" s="51" customFormat="1" x14ac:dyDescent="0.25">
      <c r="C42" s="34" t="s">
        <v>310</v>
      </c>
      <c r="D42" s="57">
        <f>IF(D39&gt;0,IF(D39&gt;0,D39*10^6/(Prod_RA*Size_dist_LQ_RA*10^3),0),AVERAGE($S$49:$S$144)*1000*NB_Hand_Oper_RA)</f>
        <v>9.9609725440617844E-2</v>
      </c>
      <c r="E42" s="57">
        <f>IF(E39&gt;0,E39*10^6/(Prod_RA*Size_dist_MQ_RA*10^3),AVERAGE($S$49:$S$144)*1000*NB_Hand_Oper_RA)</f>
        <v>1.9850710442070187</v>
      </c>
      <c r="F42" s="57">
        <f>IF(F39&gt;0,F39*10^6/(Prod_RA*Size_dist_SQ_RA*10^3),AVERAGE($S$49:$S$144)*1000*NB_Hand_Oper_RA)</f>
        <v>1.9287260834020434</v>
      </c>
      <c r="H42" s="42"/>
      <c r="P42" s="55"/>
    </row>
    <row r="43" spans="1:20" s="51" customFormat="1" ht="15.75" thickBot="1" x14ac:dyDescent="0.3">
      <c r="C43" s="35" t="s">
        <v>311</v>
      </c>
      <c r="D43" s="58">
        <f>IF(D40&gt;0,IF(D40&gt;0,D40*10^6/(Prod_RA*Size_dist_LQ_RA*10^3),0),AVERAGE($T$49:$T$144)*1000*NB_Hand_Oper_RA)</f>
        <v>1.5083758423864987E-2</v>
      </c>
      <c r="E43" s="58">
        <f>IF(E40&gt;0,E40*10^6/(Prod_RA*Size_dist_MQ_RA*10^3),AVERAGE($T$49:$T$144)*1000*NB_Hand_Oper_RA)</f>
        <v>0.30059647240849141</v>
      </c>
      <c r="F43" s="58">
        <f>IF(F40&gt;0,F40*10^6/(Prod_RA*Size_dist_SQ_RA*10^3),AVERAGE($T$49:$T$144)*1000*NB_Hand_Oper_RA)</f>
        <v>0.29206423548659521</v>
      </c>
      <c r="H43" s="42"/>
      <c r="P43" s="55"/>
    </row>
    <row r="44" spans="1:20" s="51" customFormat="1" ht="15.75" thickTop="1" x14ac:dyDescent="0.25">
      <c r="P44" s="55"/>
    </row>
    <row r="45" spans="1:20" x14ac:dyDescent="0.25">
      <c r="A45" s="309" t="s">
        <v>271</v>
      </c>
      <c r="B45" s="309"/>
      <c r="C45" s="309"/>
      <c r="D45" s="309"/>
      <c r="E45" s="309"/>
      <c r="F45" s="309"/>
      <c r="G45" s="309"/>
      <c r="H45" s="309"/>
      <c r="I45" s="309"/>
      <c r="J45" s="309"/>
      <c r="K45" s="309"/>
      <c r="L45" s="309"/>
      <c r="M45" s="309"/>
      <c r="N45" s="309"/>
      <c r="O45" s="309"/>
      <c r="P45" s="309"/>
      <c r="Q45" s="309"/>
      <c r="R45" s="309"/>
      <c r="S45" s="309"/>
      <c r="T45" s="309"/>
    </row>
    <row r="46" spans="1:20" ht="15.75" thickBot="1" x14ac:dyDescent="0.3"/>
    <row r="47" spans="1:20" ht="16.5" thickTop="1" thickBot="1" x14ac:dyDescent="0.3">
      <c r="C47" s="358" t="s">
        <v>203</v>
      </c>
      <c r="D47" s="359"/>
      <c r="E47" s="359"/>
      <c r="F47" s="359"/>
      <c r="G47" s="359"/>
      <c r="H47" s="360"/>
      <c r="I47" s="359" t="s">
        <v>4</v>
      </c>
      <c r="J47" s="359"/>
      <c r="K47" s="359"/>
      <c r="L47" s="359"/>
      <c r="M47" s="359"/>
      <c r="N47" s="360"/>
      <c r="O47" s="358" t="s">
        <v>124</v>
      </c>
      <c r="P47" s="359"/>
      <c r="Q47" s="359"/>
      <c r="R47" s="359"/>
      <c r="S47" s="359"/>
      <c r="T47" s="360"/>
    </row>
    <row r="48" spans="1:20" ht="45.75" thickTop="1" x14ac:dyDescent="0.25">
      <c r="B48" s="91" t="s">
        <v>54</v>
      </c>
      <c r="C48" s="95" t="s">
        <v>75</v>
      </c>
      <c r="D48" s="93" t="s">
        <v>70</v>
      </c>
      <c r="E48" s="93" t="s">
        <v>71</v>
      </c>
      <c r="F48" s="93" t="s">
        <v>405</v>
      </c>
      <c r="G48" s="93" t="s">
        <v>406</v>
      </c>
      <c r="H48" s="96" t="s">
        <v>407</v>
      </c>
      <c r="I48" s="95" t="s">
        <v>72</v>
      </c>
      <c r="J48" s="93" t="s">
        <v>73</v>
      </c>
      <c r="K48" s="93" t="s">
        <v>74</v>
      </c>
      <c r="L48" s="93" t="s">
        <v>405</v>
      </c>
      <c r="M48" s="93" t="s">
        <v>406</v>
      </c>
      <c r="N48" s="96" t="s">
        <v>407</v>
      </c>
      <c r="O48" s="95" t="s">
        <v>72</v>
      </c>
      <c r="P48" s="93" t="s">
        <v>73</v>
      </c>
      <c r="Q48" s="93" t="s">
        <v>74</v>
      </c>
      <c r="R48" s="93" t="s">
        <v>405</v>
      </c>
      <c r="S48" s="93" t="s">
        <v>406</v>
      </c>
      <c r="T48" s="96" t="s">
        <v>407</v>
      </c>
    </row>
    <row r="49" spans="2:20" x14ac:dyDescent="0.25">
      <c r="B49" s="69">
        <f>'Regional data'!B3</f>
        <v>1</v>
      </c>
      <c r="C49" s="141">
        <f>'Regional data'!F3*Prod_CR*Size_dist_LQ_CR</f>
        <v>7000</v>
      </c>
      <c r="D49" s="142">
        <f>'Regional data'!G3*Prod_CR*Size_dist_MQ_CR</f>
        <v>30000</v>
      </c>
      <c r="E49" s="142">
        <f>'Regional data'!H3*Prod_CR*Size_dist_SQ_CR</f>
        <v>3000</v>
      </c>
      <c r="F49" s="71">
        <f>Handling_Const_EF_TSP_CR*('Regional data'!$U3/2.2)^1.3/(Moisture_CR*100/2)^1.4</f>
        <v>1.7719842134532998E-3</v>
      </c>
      <c r="G49" s="71">
        <f>Handling_Const_EF_PM10_CR*('Regional data'!$U3/2.2)^1.3/(Moisture_CR*100/2)^1.4</f>
        <v>8.3810064149818231E-4</v>
      </c>
      <c r="H49" s="72">
        <f>Handling_Const_EF_PM2.5_CR*('Regional data'!$U3/2.2)^1.3/(Moisture_CR*100/2)^1.4</f>
        <v>1.2691238285543905E-4</v>
      </c>
      <c r="I49" s="141">
        <f>'Regional data'!L3*Prod_SG*Size_dist_LQ_SG</f>
        <v>3750</v>
      </c>
      <c r="J49" s="142">
        <f>'Regional data'!M3*Prod_SG*Size_dist_MQ_SG</f>
        <v>37500</v>
      </c>
      <c r="K49" s="142">
        <f>'Regional data'!N3*Prod_SG*Size_dist_SQ_SG</f>
        <v>8750</v>
      </c>
      <c r="L49" s="71">
        <f>Handling_Const_EF_TSP_SG*('Regional data'!$U3/2.2)^1.3/(Moisture_SG*100/2)^1.4</f>
        <v>3.8061867392782798E-4</v>
      </c>
      <c r="M49" s="71">
        <f>Handling_Const_EF_PM10_SG*('Regional data'!$U3/2.2)^1.3/(Moisture_SG*100/2)^1.4</f>
        <v>1.8002234577667539E-4</v>
      </c>
      <c r="N49" s="73">
        <f>Handling_Const_EF_PM2.5_SG*('Regional data'!$U3/2.2)^1.3/(Moisture_SG*100/2)^1.4</f>
        <v>2.7260526646182274E-5</v>
      </c>
      <c r="O49" s="142">
        <f>'Regional data'!R3*Prod_RA*Size_dist_LQ_RA</f>
        <v>0</v>
      </c>
      <c r="P49" s="142">
        <f>'Regional data'!S3*Prod_RA*Size_dist_MQ_RA</f>
        <v>1799.9999999999998</v>
      </c>
      <c r="Q49" s="142">
        <f>'Regional data'!T3*Prod_RA*Size_dist_SQ_RA</f>
        <v>2400</v>
      </c>
      <c r="R49" s="71">
        <f>Handling_Const_EF_TSP_RA*('Regional data'!$U3/2.2)^1.3/(Moisture_RA*100/2)^1.4</f>
        <v>1.7719842134532998E-3</v>
      </c>
      <c r="S49" s="71">
        <f>Handling_Const_EF_PM10_RA*('Regional data'!$U3/2.2)^1.3/(Moisture_RA*100/2)^1.4</f>
        <v>8.3810064149818231E-4</v>
      </c>
      <c r="T49" s="73">
        <f>Handling_Const_EF_PM2.5_RA*('Regional data'!$U3/2.2)^1.3/(Moisture_RA*100/2)^1.4</f>
        <v>1.2691238285543905E-4</v>
      </c>
    </row>
    <row r="50" spans="2:20" x14ac:dyDescent="0.25">
      <c r="B50" s="69">
        <f>'Regional data'!B4</f>
        <v>2</v>
      </c>
      <c r="C50" s="141">
        <f>'Regional data'!F4*Prod_CR*Size_dist_LQ_CR</f>
        <v>7000</v>
      </c>
      <c r="D50" s="142">
        <f>'Regional data'!G4*Prod_CR*Size_dist_MQ_CR</f>
        <v>10000</v>
      </c>
      <c r="E50" s="142">
        <f>'Regional data'!H4*Prod_CR*Size_dist_SQ_CR</f>
        <v>6000</v>
      </c>
      <c r="F50" s="71">
        <f>Handling_Const_EF_TSP_CR*('Regional data'!$U4/2.2)^1.3/(Moisture_CR*100/2)^1.4</f>
        <v>1.3980549083853109E-3</v>
      </c>
      <c r="G50" s="71">
        <f>Handling_Const_EF_PM10_CR*('Regional data'!$U4/2.2)^1.3/(Moisture_CR*100/2)^1.4</f>
        <v>6.6124218639845779E-4</v>
      </c>
      <c r="H50" s="72">
        <f>Handling_Const_EF_PM2.5_CR*('Regional data'!$U4/2.2)^1.3/(Moisture_CR*100/2)^1.4</f>
        <v>1.0013095965462362E-4</v>
      </c>
      <c r="I50" s="141">
        <f>'Regional data'!L4*Prod_SG*Size_dist_LQ_SG</f>
        <v>3750</v>
      </c>
      <c r="J50" s="142">
        <f>'Regional data'!M4*Prod_SG*Size_dist_MQ_SG</f>
        <v>12500</v>
      </c>
      <c r="K50" s="142">
        <f>'Regional data'!N4*Prod_SG*Size_dist_SQ_SG</f>
        <v>17500</v>
      </c>
      <c r="L50" s="71">
        <f>Handling_Const_EF_TSP_SG*('Regional data'!$U4/2.2)^1.3/(Moisture_SG*100/2)^1.4</f>
        <v>3.0029940519102263E-4</v>
      </c>
      <c r="M50" s="71">
        <f>Handling_Const_EF_PM10_SG*('Regional data'!$U4/2.2)^1.3/(Moisture_SG*100/2)^1.4</f>
        <v>1.4203350245521341E-4</v>
      </c>
      <c r="N50" s="73">
        <f>Handling_Const_EF_PM2.5_SG*('Regional data'!$U4/2.2)^1.3/(Moisture_SG*100/2)^1.4</f>
        <v>2.1507930371789459E-5</v>
      </c>
      <c r="O50" s="141">
        <f>'Regional data'!R4*Prod_RA*Size_dist_LQ_RA</f>
        <v>0</v>
      </c>
      <c r="P50" s="142">
        <f>'Regional data'!S4*Prod_RA*Size_dist_MQ_RA</f>
        <v>600</v>
      </c>
      <c r="Q50" s="142">
        <f>'Regional data'!T4*Prod_RA*Size_dist_SQ_RA</f>
        <v>4800</v>
      </c>
      <c r="R50" s="71">
        <f>Handling_Const_EF_TSP_RA*('Regional data'!$U4/2.2)^1.3/(Moisture_RA*100/2)^1.4</f>
        <v>1.3980549083853109E-3</v>
      </c>
      <c r="S50" s="71">
        <f>Handling_Const_EF_PM10_RA*('Regional data'!$U4/2.2)^1.3/(Moisture_RA*100/2)^1.4</f>
        <v>6.6124218639845779E-4</v>
      </c>
      <c r="T50" s="73">
        <f>Handling_Const_EF_PM2.5_RA*('Regional data'!$U4/2.2)^1.3/(Moisture_RA*100/2)^1.4</f>
        <v>1.0013095965462362E-4</v>
      </c>
    </row>
    <row r="51" spans="2:20" x14ac:dyDescent="0.25">
      <c r="B51" s="69">
        <f>'Regional data'!B5</f>
        <v>3</v>
      </c>
      <c r="C51" s="141">
        <f>'Regional data'!F5*Prod_CR*Size_dist_LQ_CR</f>
        <v>14000</v>
      </c>
      <c r="D51" s="142">
        <f>'Regional data'!G5*Prod_CR*Size_dist_MQ_CR</f>
        <v>30000</v>
      </c>
      <c r="E51" s="142">
        <f>'Regional data'!H5*Prod_CR*Size_dist_SQ_CR</f>
        <v>12000</v>
      </c>
      <c r="F51" s="71">
        <f>Handling_Const_EF_TSP_CR*('Regional data'!$U5/2.2)^1.3/(Moisture_CR*100/2)^1.4</f>
        <v>2.1651633891409611E-3</v>
      </c>
      <c r="G51" s="71">
        <f>Handling_Const_EF_PM10_CR*('Regional data'!$U5/2.2)^1.3/(Moisture_CR*100/2)^1.4</f>
        <v>1.0240637651342383E-3</v>
      </c>
      <c r="H51" s="72">
        <f>Handling_Const_EF_PM2.5_CR*('Regional data'!$U5/2.2)^1.3/(Moisture_CR*100/2)^1.4</f>
        <v>1.550725130060418E-4</v>
      </c>
      <c r="I51" s="141">
        <f>'Regional data'!L5*Prod_SG*Size_dist_LQ_SG</f>
        <v>7500</v>
      </c>
      <c r="J51" s="142">
        <f>'Regional data'!M5*Prod_SG*Size_dist_MQ_SG</f>
        <v>37500</v>
      </c>
      <c r="K51" s="142">
        <f>'Regional data'!N5*Prod_SG*Size_dist_SQ_SG</f>
        <v>35000</v>
      </c>
      <c r="L51" s="71">
        <f>Handling_Const_EF_TSP_SG*('Regional data'!$U5/2.2)^1.3/(Moisture_SG*100/2)^1.4</f>
        <v>4.6507277647010107E-4</v>
      </c>
      <c r="M51" s="71">
        <f>Handling_Const_EF_PM10_SG*('Regional data'!$U5/2.2)^1.3/(Moisture_SG*100/2)^1.4</f>
        <v>2.1996685373585858E-4</v>
      </c>
      <c r="N51" s="73">
        <f>Handling_Const_EF_PM2.5_SG*('Regional data'!$U5/2.2)^1.3/(Moisture_SG*100/2)^1.4</f>
        <v>3.330926642285859E-5</v>
      </c>
      <c r="O51" s="141">
        <f>'Regional data'!R5*Prod_RA*Size_dist_LQ_RA</f>
        <v>0</v>
      </c>
      <c r="P51" s="142">
        <f>'Regional data'!S5*Prod_RA*Size_dist_MQ_RA</f>
        <v>1799.9999999999998</v>
      </c>
      <c r="Q51" s="142">
        <f>'Regional data'!T5*Prod_RA*Size_dist_SQ_RA</f>
        <v>9600</v>
      </c>
      <c r="R51" s="71">
        <f>Handling_Const_EF_TSP_RA*('Regional data'!$U5/2.2)^1.3/(Moisture_RA*100/2)^1.4</f>
        <v>2.1651633891409611E-3</v>
      </c>
      <c r="S51" s="71">
        <f>Handling_Const_EF_PM10_RA*('Regional data'!$U5/2.2)^1.3/(Moisture_RA*100/2)^1.4</f>
        <v>1.0240637651342383E-3</v>
      </c>
      <c r="T51" s="73">
        <f>Handling_Const_EF_PM2.5_RA*('Regional data'!$U5/2.2)^1.3/(Moisture_RA*100/2)^1.4</f>
        <v>1.550725130060418E-4</v>
      </c>
    </row>
    <row r="52" spans="2:20" x14ac:dyDescent="0.25">
      <c r="B52" s="69">
        <f>'Regional data'!B6</f>
        <v>4</v>
      </c>
      <c r="C52" s="141">
        <f>'Regional data'!F6*Prod_CR*Size_dist_LQ_CR</f>
        <v>21000</v>
      </c>
      <c r="D52" s="142">
        <f>'Regional data'!G6*Prod_CR*Size_dist_MQ_CR</f>
        <v>10000</v>
      </c>
      <c r="E52" s="142">
        <f>'Regional data'!H6*Prod_CR*Size_dist_SQ_CR</f>
        <v>4500</v>
      </c>
      <c r="F52" s="71">
        <f>Handling_Const_EF_TSP_CR*('Regional data'!$U6/2.2)^1.3/(Moisture_CR*100/2)^1.4</f>
        <v>1.7719842134532998E-3</v>
      </c>
      <c r="G52" s="71">
        <f>Handling_Const_EF_PM10_CR*('Regional data'!$U6/2.2)^1.3/(Moisture_CR*100/2)^1.4</f>
        <v>8.3810064149818231E-4</v>
      </c>
      <c r="H52" s="72">
        <f>Handling_Const_EF_PM2.5_CR*('Regional data'!$U6/2.2)^1.3/(Moisture_CR*100/2)^1.4</f>
        <v>1.2691238285543905E-4</v>
      </c>
      <c r="I52" s="141">
        <f>'Regional data'!L6*Prod_SG*Size_dist_LQ_SG</f>
        <v>11250</v>
      </c>
      <c r="J52" s="142">
        <f>'Regional data'!M6*Prod_SG*Size_dist_MQ_SG</f>
        <v>12500</v>
      </c>
      <c r="K52" s="142">
        <f>'Regional data'!N6*Prod_SG*Size_dist_SQ_SG</f>
        <v>13125</v>
      </c>
      <c r="L52" s="71">
        <f>Handling_Const_EF_TSP_SG*('Regional data'!$U6/2.2)^1.3/(Moisture_SG*100/2)^1.4</f>
        <v>3.8061867392782798E-4</v>
      </c>
      <c r="M52" s="71">
        <f>Handling_Const_EF_PM10_SG*('Regional data'!$U6/2.2)^1.3/(Moisture_SG*100/2)^1.4</f>
        <v>1.8002234577667539E-4</v>
      </c>
      <c r="N52" s="73">
        <f>Handling_Const_EF_PM2.5_SG*('Regional data'!$U6/2.2)^1.3/(Moisture_SG*100/2)^1.4</f>
        <v>2.7260526646182274E-5</v>
      </c>
      <c r="O52" s="141">
        <f>'Regional data'!R6*Prod_RA*Size_dist_LQ_RA</f>
        <v>0</v>
      </c>
      <c r="P52" s="142">
        <f>'Regional data'!S6*Prod_RA*Size_dist_MQ_RA</f>
        <v>600</v>
      </c>
      <c r="Q52" s="142">
        <f>'Regional data'!T6*Prod_RA*Size_dist_SQ_RA</f>
        <v>3599.9999999999995</v>
      </c>
      <c r="R52" s="71">
        <f>Handling_Const_EF_TSP_RA*('Regional data'!$U6/2.2)^1.3/(Moisture_RA*100/2)^1.4</f>
        <v>1.7719842134532998E-3</v>
      </c>
      <c r="S52" s="71">
        <f>Handling_Const_EF_PM10_RA*('Regional data'!$U6/2.2)^1.3/(Moisture_RA*100/2)^1.4</f>
        <v>8.3810064149818231E-4</v>
      </c>
      <c r="T52" s="73">
        <f>Handling_Const_EF_PM2.5_RA*('Regional data'!$U6/2.2)^1.3/(Moisture_RA*100/2)^1.4</f>
        <v>1.2691238285543905E-4</v>
      </c>
    </row>
    <row r="53" spans="2:20" x14ac:dyDescent="0.25">
      <c r="B53" s="69">
        <f>'Regional data'!B7</f>
        <v>5</v>
      </c>
      <c r="C53" s="141">
        <f>'Regional data'!F7*Prod_CR*Size_dist_LQ_CR</f>
        <v>21000</v>
      </c>
      <c r="D53" s="142">
        <f>'Regional data'!G7*Prod_CR*Size_dist_MQ_CR</f>
        <v>20000</v>
      </c>
      <c r="E53" s="142">
        <f>'Regional data'!H7*Prod_CR*Size_dist_SQ_CR</f>
        <v>4500</v>
      </c>
      <c r="F53" s="71">
        <f>Handling_Const_EF_TSP_CR*('Regional data'!$U7/2.2)^1.3/(Moisture_CR*100/2)^1.4</f>
        <v>3.001777411712116E-3</v>
      </c>
      <c r="G53" s="71">
        <f>Handling_Const_EF_PM10_CR*('Regional data'!$U7/2.2)^1.3/(Moisture_CR*100/2)^1.4</f>
        <v>1.4197595866205952E-3</v>
      </c>
      <c r="H53" s="72">
        <f>Handling_Const_EF_PM2.5_CR*('Regional data'!$U7/2.2)^1.3/(Moisture_CR*100/2)^1.4</f>
        <v>2.1499216597397589E-4</v>
      </c>
      <c r="I53" s="141">
        <f>'Regional data'!L7*Prod_SG*Size_dist_LQ_SG</f>
        <v>11250</v>
      </c>
      <c r="J53" s="142">
        <f>'Regional data'!M7*Prod_SG*Size_dist_MQ_SG</f>
        <v>25000</v>
      </c>
      <c r="K53" s="142">
        <f>'Regional data'!N7*Prod_SG*Size_dist_SQ_SG</f>
        <v>13125</v>
      </c>
      <c r="L53" s="71">
        <f>Handling_Const_EF_TSP_SG*('Regional data'!$U7/2.2)^1.3/(Moisture_SG*100/2)^1.4</f>
        <v>6.4477579946706698E-4</v>
      </c>
      <c r="M53" s="71">
        <f>Handling_Const_EF_PM10_SG*('Regional data'!$U7/2.2)^1.3/(Moisture_SG*100/2)^1.4</f>
        <v>3.0496152677496406E-4</v>
      </c>
      <c r="N53" s="73">
        <f>Handling_Const_EF_PM2.5_SG*('Regional data'!$U7/2.2)^1.3/(Moisture_SG*100/2)^1.4</f>
        <v>4.6179888340208854E-5</v>
      </c>
      <c r="O53" s="141">
        <f>'Regional data'!R7*Prod_RA*Size_dist_LQ_RA</f>
        <v>0</v>
      </c>
      <c r="P53" s="142">
        <f>'Regional data'!S7*Prod_RA*Size_dist_MQ_RA</f>
        <v>1200</v>
      </c>
      <c r="Q53" s="142">
        <f>'Regional data'!T7*Prod_RA*Size_dist_SQ_RA</f>
        <v>3599.9999999999995</v>
      </c>
      <c r="R53" s="71">
        <f>Handling_Const_EF_TSP_RA*('Regional data'!$U7/2.2)^1.3/(Moisture_RA*100/2)^1.4</f>
        <v>3.001777411712116E-3</v>
      </c>
      <c r="S53" s="71">
        <f>Handling_Const_EF_PM10_RA*('Regional data'!$U7/2.2)^1.3/(Moisture_RA*100/2)^1.4</f>
        <v>1.4197595866205952E-3</v>
      </c>
      <c r="T53" s="73">
        <f>Handling_Const_EF_PM2.5_RA*('Regional data'!$U7/2.2)^1.3/(Moisture_RA*100/2)^1.4</f>
        <v>2.1499216597397589E-4</v>
      </c>
    </row>
    <row r="54" spans="2:20" x14ac:dyDescent="0.25">
      <c r="B54" s="69">
        <f>'Regional data'!B8</f>
        <v>0</v>
      </c>
      <c r="C54" s="141">
        <f>'Regional data'!F8*Prod_CR*Size_dist_LQ_CR</f>
        <v>0</v>
      </c>
      <c r="D54" s="142">
        <f>'Regional data'!G8*Prod_CR*Size_dist_MQ_CR</f>
        <v>0</v>
      </c>
      <c r="E54" s="142">
        <f>'Regional data'!H8*Prod_CR*Size_dist_SQ_CR</f>
        <v>0</v>
      </c>
      <c r="F54" s="71">
        <f>Handling_Const_EF_TSP_CR*('Regional data'!$U8/2.2)^1.3/(Moisture_CR*100/2)^1.4</f>
        <v>0</v>
      </c>
      <c r="G54" s="71">
        <f>Handling_Const_EF_PM10_CR*('Regional data'!$U8/2.2)^1.3/(Moisture_CR*100/2)^1.4</f>
        <v>0</v>
      </c>
      <c r="H54" s="72">
        <f>Handling_Const_EF_PM2.5_CR*('Regional data'!$U8/2.2)^1.3/(Moisture_CR*100/2)^1.4</f>
        <v>0</v>
      </c>
      <c r="I54" s="141">
        <f>'Regional data'!L8*Prod_SG*Size_dist_LQ_SG</f>
        <v>0</v>
      </c>
      <c r="J54" s="142">
        <f>'Regional data'!M8*Prod_SG*Size_dist_MQ_SG</f>
        <v>0</v>
      </c>
      <c r="K54" s="142">
        <f>'Regional data'!N8*Prod_SG*Size_dist_SQ_SG</f>
        <v>0</v>
      </c>
      <c r="L54" s="71">
        <f>Handling_Const_EF_TSP_SG*('Regional data'!$U8/2.2)^1.3/(Moisture_SG*100/2)^1.4</f>
        <v>0</v>
      </c>
      <c r="M54" s="71">
        <f>Handling_Const_EF_PM10_SG*('Regional data'!$U8/2.2)^1.3/(Moisture_SG*100/2)^1.4</f>
        <v>0</v>
      </c>
      <c r="N54" s="73">
        <f>Handling_Const_EF_PM2.5_SG*('Regional data'!$U8/2.2)^1.3/(Moisture_SG*100/2)^1.4</f>
        <v>0</v>
      </c>
      <c r="O54" s="141">
        <f>'Regional data'!R8*Prod_RA*Size_dist_LQ_RA</f>
        <v>0</v>
      </c>
      <c r="P54" s="142">
        <f>'Regional data'!S8*Prod_RA*Size_dist_MQ_RA</f>
        <v>0</v>
      </c>
      <c r="Q54" s="142">
        <f>'Regional data'!T8*Prod_RA*Size_dist_SQ_RA</f>
        <v>0</v>
      </c>
      <c r="R54" s="71">
        <f>Handling_Const_EF_TSP_RA*('Regional data'!$U8/2.2)^1.3/(Moisture_RA*100/2)^1.4</f>
        <v>0</v>
      </c>
      <c r="S54" s="71">
        <f>Handling_Const_EF_PM10_RA*('Regional data'!$U8/2.2)^1.3/(Moisture_RA*100/2)^1.4</f>
        <v>0</v>
      </c>
      <c r="T54" s="73">
        <f>Handling_Const_EF_PM2.5_RA*('Regional data'!$U8/2.2)^1.3/(Moisture_RA*100/2)^1.4</f>
        <v>0</v>
      </c>
    </row>
    <row r="55" spans="2:20" x14ac:dyDescent="0.25">
      <c r="B55" s="69">
        <f>'Regional data'!B9</f>
        <v>0</v>
      </c>
      <c r="C55" s="141">
        <f>'Regional data'!F9*Prod_CR*Size_dist_LQ_CR</f>
        <v>0</v>
      </c>
      <c r="D55" s="142">
        <f>'Regional data'!G9*Prod_CR*Size_dist_MQ_CR</f>
        <v>0</v>
      </c>
      <c r="E55" s="142">
        <f>'Regional data'!H9*Prod_CR*Size_dist_SQ_CR</f>
        <v>0</v>
      </c>
      <c r="F55" s="71">
        <f>Handling_Const_EF_TSP_CR*('Regional data'!$U9/2.2)^1.3/(Moisture_CR*100/2)^1.4</f>
        <v>0</v>
      </c>
      <c r="G55" s="71">
        <f>Handling_Const_EF_PM10_CR*('Regional data'!$U9/2.2)^1.3/(Moisture_CR*100/2)^1.4</f>
        <v>0</v>
      </c>
      <c r="H55" s="72">
        <f>Handling_Const_EF_PM2.5_CR*('Regional data'!$U9/2.2)^1.3/(Moisture_CR*100/2)^1.4</f>
        <v>0</v>
      </c>
      <c r="I55" s="141">
        <f>'Regional data'!L9*Prod_SG*Size_dist_LQ_SG</f>
        <v>0</v>
      </c>
      <c r="J55" s="142">
        <f>'Regional data'!M9*Prod_SG*Size_dist_MQ_SG</f>
        <v>0</v>
      </c>
      <c r="K55" s="142">
        <f>'Regional data'!N9*Prod_SG*Size_dist_SQ_SG</f>
        <v>0</v>
      </c>
      <c r="L55" s="71">
        <f>Handling_Const_EF_TSP_SG*('Regional data'!$U9/2.2)^1.3/(Moisture_SG*100/2)^1.4</f>
        <v>0</v>
      </c>
      <c r="M55" s="71">
        <f>Handling_Const_EF_PM10_SG*('Regional data'!$U9/2.2)^1.3/(Moisture_SG*100/2)^1.4</f>
        <v>0</v>
      </c>
      <c r="N55" s="73">
        <f>Handling_Const_EF_PM2.5_SG*('Regional data'!$U9/2.2)^1.3/(Moisture_SG*100/2)^1.4</f>
        <v>0</v>
      </c>
      <c r="O55" s="141">
        <f>'Regional data'!R9*Prod_RA*Size_dist_LQ_RA</f>
        <v>0</v>
      </c>
      <c r="P55" s="142">
        <f>'Regional data'!S9*Prod_RA*Size_dist_MQ_RA</f>
        <v>0</v>
      </c>
      <c r="Q55" s="142">
        <f>'Regional data'!T9*Prod_RA*Size_dist_SQ_RA</f>
        <v>0</v>
      </c>
      <c r="R55" s="71">
        <f>Handling_Const_EF_TSP_RA*('Regional data'!$U9/2.2)^1.3/(Moisture_RA*100/2)^1.4</f>
        <v>0</v>
      </c>
      <c r="S55" s="71">
        <f>Handling_Const_EF_PM10_RA*('Regional data'!$U9/2.2)^1.3/(Moisture_RA*100/2)^1.4</f>
        <v>0</v>
      </c>
      <c r="T55" s="73">
        <f>Handling_Const_EF_PM2.5_RA*('Regional data'!$U9/2.2)^1.3/(Moisture_RA*100/2)^1.4</f>
        <v>0</v>
      </c>
    </row>
    <row r="56" spans="2:20" x14ac:dyDescent="0.25">
      <c r="B56" s="69">
        <f>'Regional data'!B10</f>
        <v>0</v>
      </c>
      <c r="C56" s="141">
        <f>'Regional data'!F10*Prod_CR*Size_dist_LQ_CR</f>
        <v>0</v>
      </c>
      <c r="D56" s="142">
        <f>'Regional data'!G10*Prod_CR*Size_dist_MQ_CR</f>
        <v>0</v>
      </c>
      <c r="E56" s="142">
        <f>'Regional data'!H10*Prod_CR*Size_dist_SQ_CR</f>
        <v>0</v>
      </c>
      <c r="F56" s="71">
        <f>Handling_Const_EF_TSP_CR*('Regional data'!$U10/2.2)^1.3/(Moisture_CR*100/2)^1.4</f>
        <v>0</v>
      </c>
      <c r="G56" s="71">
        <f>Handling_Const_EF_PM10_CR*('Regional data'!$U10/2.2)^1.3/(Moisture_CR*100/2)^1.4</f>
        <v>0</v>
      </c>
      <c r="H56" s="72">
        <f>Handling_Const_EF_PM2.5_CR*('Regional data'!$U10/2.2)^1.3/(Moisture_CR*100/2)^1.4</f>
        <v>0</v>
      </c>
      <c r="I56" s="141">
        <f>'Regional data'!L10*Prod_SG*Size_dist_LQ_SG</f>
        <v>0</v>
      </c>
      <c r="J56" s="142">
        <f>'Regional data'!M10*Prod_SG*Size_dist_MQ_SG</f>
        <v>0</v>
      </c>
      <c r="K56" s="142">
        <f>'Regional data'!N10*Prod_SG*Size_dist_SQ_SG</f>
        <v>0</v>
      </c>
      <c r="L56" s="71">
        <f>Handling_Const_EF_TSP_SG*('Regional data'!$U10/2.2)^1.3/(Moisture_SG*100/2)^1.4</f>
        <v>0</v>
      </c>
      <c r="M56" s="71">
        <f>Handling_Const_EF_PM10_SG*('Regional data'!$U10/2.2)^1.3/(Moisture_SG*100/2)^1.4</f>
        <v>0</v>
      </c>
      <c r="N56" s="73">
        <f>Handling_Const_EF_PM2.5_SG*('Regional data'!$U10/2.2)^1.3/(Moisture_SG*100/2)^1.4</f>
        <v>0</v>
      </c>
      <c r="O56" s="141">
        <f>'Regional data'!R10*Prod_RA*Size_dist_LQ_RA</f>
        <v>0</v>
      </c>
      <c r="P56" s="142">
        <f>'Regional data'!S10*Prod_RA*Size_dist_MQ_RA</f>
        <v>0</v>
      </c>
      <c r="Q56" s="142">
        <f>'Regional data'!T10*Prod_RA*Size_dist_SQ_RA</f>
        <v>0</v>
      </c>
      <c r="R56" s="71">
        <f>Handling_Const_EF_TSP_RA*('Regional data'!$U10/2.2)^1.3/(Moisture_RA*100/2)^1.4</f>
        <v>0</v>
      </c>
      <c r="S56" s="71">
        <f>Handling_Const_EF_PM10_RA*('Regional data'!$U10/2.2)^1.3/(Moisture_RA*100/2)^1.4</f>
        <v>0</v>
      </c>
      <c r="T56" s="73">
        <f>Handling_Const_EF_PM2.5_RA*('Regional data'!$U10/2.2)^1.3/(Moisture_RA*100/2)^1.4</f>
        <v>0</v>
      </c>
    </row>
    <row r="57" spans="2:20" x14ac:dyDescent="0.25">
      <c r="B57" s="69">
        <f>'Regional data'!B11</f>
        <v>0</v>
      </c>
      <c r="C57" s="141">
        <f>'Regional data'!F11*Prod_CR*Size_dist_LQ_CR</f>
        <v>0</v>
      </c>
      <c r="D57" s="142">
        <f>'Regional data'!G11*Prod_CR*Size_dist_MQ_CR</f>
        <v>0</v>
      </c>
      <c r="E57" s="142">
        <f>'Regional data'!H11*Prod_CR*Size_dist_SQ_CR</f>
        <v>0</v>
      </c>
      <c r="F57" s="71">
        <f>Handling_Const_EF_TSP_CR*('Regional data'!$U11/2.2)^1.3/(Moisture_CR*100/2)^1.4</f>
        <v>0</v>
      </c>
      <c r="G57" s="71">
        <f>Handling_Const_EF_PM10_CR*('Regional data'!$U11/2.2)^1.3/(Moisture_CR*100/2)^1.4</f>
        <v>0</v>
      </c>
      <c r="H57" s="72">
        <f>Handling_Const_EF_PM2.5_CR*('Regional data'!$U11/2.2)^1.3/(Moisture_CR*100/2)^1.4</f>
        <v>0</v>
      </c>
      <c r="I57" s="141">
        <f>'Regional data'!L11*Prod_SG*Size_dist_LQ_SG</f>
        <v>0</v>
      </c>
      <c r="J57" s="142">
        <f>'Regional data'!M11*Prod_SG*Size_dist_MQ_SG</f>
        <v>0</v>
      </c>
      <c r="K57" s="142">
        <f>'Regional data'!N11*Prod_SG*Size_dist_SQ_SG</f>
        <v>0</v>
      </c>
      <c r="L57" s="71">
        <f>Handling_Const_EF_TSP_SG*('Regional data'!$U11/2.2)^1.3/(Moisture_SG*100/2)^1.4</f>
        <v>0</v>
      </c>
      <c r="M57" s="71">
        <f>Handling_Const_EF_PM10_SG*('Regional data'!$U11/2.2)^1.3/(Moisture_SG*100/2)^1.4</f>
        <v>0</v>
      </c>
      <c r="N57" s="73">
        <f>Handling_Const_EF_PM2.5_SG*('Regional data'!$U11/2.2)^1.3/(Moisture_SG*100/2)^1.4</f>
        <v>0</v>
      </c>
      <c r="O57" s="141">
        <f>'Regional data'!R11*Prod_RA*Size_dist_LQ_RA</f>
        <v>0</v>
      </c>
      <c r="P57" s="142">
        <f>'Regional data'!S11*Prod_RA*Size_dist_MQ_RA</f>
        <v>0</v>
      </c>
      <c r="Q57" s="142">
        <f>'Regional data'!T11*Prod_RA*Size_dist_SQ_RA</f>
        <v>0</v>
      </c>
      <c r="R57" s="71">
        <f>Handling_Const_EF_TSP_RA*('Regional data'!$U11/2.2)^1.3/(Moisture_RA*100/2)^1.4</f>
        <v>0</v>
      </c>
      <c r="S57" s="71">
        <f>Handling_Const_EF_PM10_RA*('Regional data'!$U11/2.2)^1.3/(Moisture_RA*100/2)^1.4</f>
        <v>0</v>
      </c>
      <c r="T57" s="73">
        <f>Handling_Const_EF_PM2.5_RA*('Regional data'!$U11/2.2)^1.3/(Moisture_RA*100/2)^1.4</f>
        <v>0</v>
      </c>
    </row>
    <row r="58" spans="2:20" x14ac:dyDescent="0.25">
      <c r="B58" s="69">
        <f>'Regional data'!B12</f>
        <v>0</v>
      </c>
      <c r="C58" s="141">
        <f>'Regional data'!F12*Prod_CR*Size_dist_LQ_CR</f>
        <v>0</v>
      </c>
      <c r="D58" s="142">
        <f>'Regional data'!G12*Prod_CR*Size_dist_MQ_CR</f>
        <v>0</v>
      </c>
      <c r="E58" s="142">
        <f>'Regional data'!H12*Prod_CR*Size_dist_SQ_CR</f>
        <v>0</v>
      </c>
      <c r="F58" s="71">
        <f>Handling_Const_EF_TSP_CR*('Regional data'!$U12/2.2)^1.3/(Moisture_CR*100/2)^1.4</f>
        <v>0</v>
      </c>
      <c r="G58" s="71">
        <f>Handling_Const_EF_PM10_CR*('Regional data'!$U12/2.2)^1.3/(Moisture_CR*100/2)^1.4</f>
        <v>0</v>
      </c>
      <c r="H58" s="72">
        <f>Handling_Const_EF_PM2.5_CR*('Regional data'!$U12/2.2)^1.3/(Moisture_CR*100/2)^1.4</f>
        <v>0</v>
      </c>
      <c r="I58" s="141">
        <f>'Regional data'!L12*Prod_SG*Size_dist_LQ_SG</f>
        <v>0</v>
      </c>
      <c r="J58" s="142">
        <f>'Regional data'!M12*Prod_SG*Size_dist_MQ_SG</f>
        <v>0</v>
      </c>
      <c r="K58" s="142">
        <f>'Regional data'!N12*Prod_SG*Size_dist_SQ_SG</f>
        <v>0</v>
      </c>
      <c r="L58" s="71">
        <f>Handling_Const_EF_TSP_SG*('Regional data'!$U12/2.2)^1.3/(Moisture_SG*100/2)^1.4</f>
        <v>0</v>
      </c>
      <c r="M58" s="71">
        <f>Handling_Const_EF_PM10_SG*('Regional data'!$U12/2.2)^1.3/(Moisture_SG*100/2)^1.4</f>
        <v>0</v>
      </c>
      <c r="N58" s="73">
        <f>Handling_Const_EF_PM2.5_SG*('Regional data'!$U12/2.2)^1.3/(Moisture_SG*100/2)^1.4</f>
        <v>0</v>
      </c>
      <c r="O58" s="141">
        <f>'Regional data'!R12*Prod_RA*Size_dist_LQ_RA</f>
        <v>0</v>
      </c>
      <c r="P58" s="142">
        <f>'Regional data'!S12*Prod_RA*Size_dist_MQ_RA</f>
        <v>0</v>
      </c>
      <c r="Q58" s="142">
        <f>'Regional data'!T12*Prod_RA*Size_dist_SQ_RA</f>
        <v>0</v>
      </c>
      <c r="R58" s="71">
        <f>Handling_Const_EF_TSP_RA*('Regional data'!$U12/2.2)^1.3/(Moisture_RA*100/2)^1.4</f>
        <v>0</v>
      </c>
      <c r="S58" s="71">
        <f>Handling_Const_EF_PM10_RA*('Regional data'!$U12/2.2)^1.3/(Moisture_RA*100/2)^1.4</f>
        <v>0</v>
      </c>
      <c r="T58" s="73">
        <f>Handling_Const_EF_PM2.5_RA*('Regional data'!$U12/2.2)^1.3/(Moisture_RA*100/2)^1.4</f>
        <v>0</v>
      </c>
    </row>
    <row r="59" spans="2:20" x14ac:dyDescent="0.25">
      <c r="B59" s="69">
        <f>'Regional data'!B13</f>
        <v>0</v>
      </c>
      <c r="C59" s="141">
        <f>'Regional data'!F13*Prod_CR*Size_dist_LQ_CR</f>
        <v>0</v>
      </c>
      <c r="D59" s="142">
        <f>'Regional data'!G13*Prod_CR*Size_dist_MQ_CR</f>
        <v>0</v>
      </c>
      <c r="E59" s="142">
        <f>'Regional data'!H13*Prod_CR*Size_dist_SQ_CR</f>
        <v>0</v>
      </c>
      <c r="F59" s="71">
        <f>Handling_Const_EF_TSP_CR*('Regional data'!$U13/2.2)^1.3/(Moisture_CR*100/2)^1.4</f>
        <v>0</v>
      </c>
      <c r="G59" s="71">
        <f>Handling_Const_EF_PM10_CR*('Regional data'!$U13/2.2)^1.3/(Moisture_CR*100/2)^1.4</f>
        <v>0</v>
      </c>
      <c r="H59" s="72">
        <f>Handling_Const_EF_PM2.5_CR*('Regional data'!$U13/2.2)^1.3/(Moisture_CR*100/2)^1.4</f>
        <v>0</v>
      </c>
      <c r="I59" s="141">
        <f>'Regional data'!L13*Prod_SG*Size_dist_LQ_SG</f>
        <v>0</v>
      </c>
      <c r="J59" s="142">
        <f>'Regional data'!M13*Prod_SG*Size_dist_MQ_SG</f>
        <v>0</v>
      </c>
      <c r="K59" s="142">
        <f>'Regional data'!N13*Prod_SG*Size_dist_SQ_SG</f>
        <v>0</v>
      </c>
      <c r="L59" s="71">
        <f>Handling_Const_EF_TSP_SG*('Regional data'!$U13/2.2)^1.3/(Moisture_SG*100/2)^1.4</f>
        <v>0</v>
      </c>
      <c r="M59" s="71">
        <f>Handling_Const_EF_PM10_SG*('Regional data'!$U13/2.2)^1.3/(Moisture_SG*100/2)^1.4</f>
        <v>0</v>
      </c>
      <c r="N59" s="73">
        <f>Handling_Const_EF_PM2.5_SG*('Regional data'!$U13/2.2)^1.3/(Moisture_SG*100/2)^1.4</f>
        <v>0</v>
      </c>
      <c r="O59" s="141">
        <f>'Regional data'!R13*Prod_RA*Size_dist_LQ_RA</f>
        <v>0</v>
      </c>
      <c r="P59" s="142">
        <f>'Regional data'!S13*Prod_RA*Size_dist_MQ_RA</f>
        <v>0</v>
      </c>
      <c r="Q59" s="142">
        <f>'Regional data'!T13*Prod_RA*Size_dist_SQ_RA</f>
        <v>0</v>
      </c>
      <c r="R59" s="71">
        <f>Handling_Const_EF_TSP_RA*('Regional data'!$U13/2.2)^1.3/(Moisture_RA*100/2)^1.4</f>
        <v>0</v>
      </c>
      <c r="S59" s="71">
        <f>Handling_Const_EF_PM10_RA*('Regional data'!$U13/2.2)^1.3/(Moisture_RA*100/2)^1.4</f>
        <v>0</v>
      </c>
      <c r="T59" s="73">
        <f>Handling_Const_EF_PM2.5_RA*('Regional data'!$U13/2.2)^1.3/(Moisture_RA*100/2)^1.4</f>
        <v>0</v>
      </c>
    </row>
    <row r="60" spans="2:20" x14ac:dyDescent="0.25">
      <c r="B60" s="69">
        <f>'Regional data'!B14</f>
        <v>0</v>
      </c>
      <c r="C60" s="141">
        <f>'Regional data'!F14*Prod_CR*Size_dist_LQ_CR</f>
        <v>0</v>
      </c>
      <c r="D60" s="142">
        <f>'Regional data'!G14*Prod_CR*Size_dist_MQ_CR</f>
        <v>0</v>
      </c>
      <c r="E60" s="142">
        <f>'Regional data'!H14*Prod_CR*Size_dist_SQ_CR</f>
        <v>0</v>
      </c>
      <c r="F60" s="71">
        <f>Handling_Const_EF_TSP_CR*('Regional data'!$U14/2.2)^1.3/(Moisture_CR*100/2)^1.4</f>
        <v>0</v>
      </c>
      <c r="G60" s="71">
        <f>Handling_Const_EF_PM10_CR*('Regional data'!$U14/2.2)^1.3/(Moisture_CR*100/2)^1.4</f>
        <v>0</v>
      </c>
      <c r="H60" s="72">
        <f>Handling_Const_EF_PM2.5_CR*('Regional data'!$U14/2.2)^1.3/(Moisture_CR*100/2)^1.4</f>
        <v>0</v>
      </c>
      <c r="I60" s="141">
        <f>'Regional data'!L14*Prod_SG*Size_dist_LQ_SG</f>
        <v>0</v>
      </c>
      <c r="J60" s="142">
        <f>'Regional data'!M14*Prod_SG*Size_dist_MQ_SG</f>
        <v>0</v>
      </c>
      <c r="K60" s="142">
        <f>'Regional data'!N14*Prod_SG*Size_dist_SQ_SG</f>
        <v>0</v>
      </c>
      <c r="L60" s="71">
        <f>Handling_Const_EF_TSP_SG*('Regional data'!$U14/2.2)^1.3/(Moisture_SG*100/2)^1.4</f>
        <v>0</v>
      </c>
      <c r="M60" s="71">
        <f>Handling_Const_EF_PM10_SG*('Regional data'!$U14/2.2)^1.3/(Moisture_SG*100/2)^1.4</f>
        <v>0</v>
      </c>
      <c r="N60" s="73">
        <f>Handling_Const_EF_PM2.5_SG*('Regional data'!$U14/2.2)^1.3/(Moisture_SG*100/2)^1.4</f>
        <v>0</v>
      </c>
      <c r="O60" s="141">
        <f>'Regional data'!R14*Prod_RA*Size_dist_LQ_RA</f>
        <v>0</v>
      </c>
      <c r="P60" s="142">
        <f>'Regional data'!S14*Prod_RA*Size_dist_MQ_RA</f>
        <v>0</v>
      </c>
      <c r="Q60" s="142">
        <f>'Regional data'!T14*Prod_RA*Size_dist_SQ_RA</f>
        <v>0</v>
      </c>
      <c r="R60" s="71">
        <f>Handling_Const_EF_TSP_RA*('Regional data'!$U14/2.2)^1.3/(Moisture_RA*100/2)^1.4</f>
        <v>0</v>
      </c>
      <c r="S60" s="71">
        <f>Handling_Const_EF_PM10_RA*('Regional data'!$U14/2.2)^1.3/(Moisture_RA*100/2)^1.4</f>
        <v>0</v>
      </c>
      <c r="T60" s="73">
        <f>Handling_Const_EF_PM2.5_RA*('Regional data'!$U14/2.2)^1.3/(Moisture_RA*100/2)^1.4</f>
        <v>0</v>
      </c>
    </row>
    <row r="61" spans="2:20" x14ac:dyDescent="0.25">
      <c r="B61" s="69">
        <f>'Regional data'!B15</f>
        <v>0</v>
      </c>
      <c r="C61" s="141">
        <f>'Regional data'!F15*Prod_CR*Size_dist_LQ_CR</f>
        <v>0</v>
      </c>
      <c r="D61" s="142">
        <f>'Regional data'!G15*Prod_CR*Size_dist_MQ_CR</f>
        <v>0</v>
      </c>
      <c r="E61" s="142">
        <f>'Regional data'!H15*Prod_CR*Size_dist_SQ_CR</f>
        <v>0</v>
      </c>
      <c r="F61" s="71">
        <f>Handling_Const_EF_TSP_CR*('Regional data'!$U15/2.2)^1.3/(Moisture_CR*100/2)^1.4</f>
        <v>0</v>
      </c>
      <c r="G61" s="71">
        <f>Handling_Const_EF_PM10_CR*('Regional data'!$U15/2.2)^1.3/(Moisture_CR*100/2)^1.4</f>
        <v>0</v>
      </c>
      <c r="H61" s="72">
        <f>Handling_Const_EF_PM2.5_CR*('Regional data'!$U15/2.2)^1.3/(Moisture_CR*100/2)^1.4</f>
        <v>0</v>
      </c>
      <c r="I61" s="141">
        <f>'Regional data'!L15*Prod_SG*Size_dist_LQ_SG</f>
        <v>0</v>
      </c>
      <c r="J61" s="142">
        <f>'Regional data'!M15*Prod_SG*Size_dist_MQ_SG</f>
        <v>0</v>
      </c>
      <c r="K61" s="142">
        <f>'Regional data'!N15*Prod_SG*Size_dist_SQ_SG</f>
        <v>0</v>
      </c>
      <c r="L61" s="71">
        <f>Handling_Const_EF_TSP_SG*('Regional data'!$U15/2.2)^1.3/(Moisture_SG*100/2)^1.4</f>
        <v>0</v>
      </c>
      <c r="M61" s="71">
        <f>Handling_Const_EF_PM10_SG*('Regional data'!$U15/2.2)^1.3/(Moisture_SG*100/2)^1.4</f>
        <v>0</v>
      </c>
      <c r="N61" s="73">
        <f>Handling_Const_EF_PM2.5_SG*('Regional data'!$U15/2.2)^1.3/(Moisture_SG*100/2)^1.4</f>
        <v>0</v>
      </c>
      <c r="O61" s="141">
        <f>'Regional data'!R15*Prod_RA*Size_dist_LQ_RA</f>
        <v>0</v>
      </c>
      <c r="P61" s="142">
        <f>'Regional data'!S15*Prod_RA*Size_dist_MQ_RA</f>
        <v>0</v>
      </c>
      <c r="Q61" s="142">
        <f>'Regional data'!T15*Prod_RA*Size_dist_SQ_RA</f>
        <v>0</v>
      </c>
      <c r="R61" s="71">
        <f>Handling_Const_EF_TSP_RA*('Regional data'!$U15/2.2)^1.3/(Moisture_RA*100/2)^1.4</f>
        <v>0</v>
      </c>
      <c r="S61" s="71">
        <f>Handling_Const_EF_PM10_RA*('Regional data'!$U15/2.2)^1.3/(Moisture_RA*100/2)^1.4</f>
        <v>0</v>
      </c>
      <c r="T61" s="73">
        <f>Handling_Const_EF_PM2.5_RA*('Regional data'!$U15/2.2)^1.3/(Moisture_RA*100/2)^1.4</f>
        <v>0</v>
      </c>
    </row>
    <row r="62" spans="2:20" x14ac:dyDescent="0.25">
      <c r="B62" s="69">
        <f>'Regional data'!B16</f>
        <v>0</v>
      </c>
      <c r="C62" s="141">
        <f>'Regional data'!F16*Prod_CR*Size_dist_LQ_CR</f>
        <v>0</v>
      </c>
      <c r="D62" s="142">
        <f>'Regional data'!G16*Prod_CR*Size_dist_MQ_CR</f>
        <v>0</v>
      </c>
      <c r="E62" s="142">
        <f>'Regional data'!H16*Prod_CR*Size_dist_SQ_CR</f>
        <v>0</v>
      </c>
      <c r="F62" s="71">
        <f>Handling_Const_EF_TSP_CR*('Regional data'!$U16/2.2)^1.3/(Moisture_CR*100/2)^1.4</f>
        <v>0</v>
      </c>
      <c r="G62" s="71">
        <f>Handling_Const_EF_PM10_CR*('Regional data'!$U16/2.2)^1.3/(Moisture_CR*100/2)^1.4</f>
        <v>0</v>
      </c>
      <c r="H62" s="72">
        <f>Handling_Const_EF_PM2.5_CR*('Regional data'!$U16/2.2)^1.3/(Moisture_CR*100/2)^1.4</f>
        <v>0</v>
      </c>
      <c r="I62" s="141">
        <f>'Regional data'!L16*Prod_SG*Size_dist_LQ_SG</f>
        <v>0</v>
      </c>
      <c r="J62" s="142">
        <f>'Regional data'!M16*Prod_SG*Size_dist_MQ_SG</f>
        <v>0</v>
      </c>
      <c r="K62" s="142">
        <f>'Regional data'!N16*Prod_SG*Size_dist_SQ_SG</f>
        <v>0</v>
      </c>
      <c r="L62" s="71">
        <f>Handling_Const_EF_TSP_SG*('Regional data'!$U16/2.2)^1.3/(Moisture_SG*100/2)^1.4</f>
        <v>0</v>
      </c>
      <c r="M62" s="71">
        <f>Handling_Const_EF_PM10_SG*('Regional data'!$U16/2.2)^1.3/(Moisture_SG*100/2)^1.4</f>
        <v>0</v>
      </c>
      <c r="N62" s="73">
        <f>Handling_Const_EF_PM2.5_SG*('Regional data'!$U16/2.2)^1.3/(Moisture_SG*100/2)^1.4</f>
        <v>0</v>
      </c>
      <c r="O62" s="141">
        <f>'Regional data'!R16*Prod_RA*Size_dist_LQ_RA</f>
        <v>0</v>
      </c>
      <c r="P62" s="142">
        <f>'Regional data'!S16*Prod_RA*Size_dist_MQ_RA</f>
        <v>0</v>
      </c>
      <c r="Q62" s="142">
        <f>'Regional data'!T16*Prod_RA*Size_dist_SQ_RA</f>
        <v>0</v>
      </c>
      <c r="R62" s="71">
        <f>Handling_Const_EF_TSP_RA*('Regional data'!$U16/2.2)^1.3/(Moisture_RA*100/2)^1.4</f>
        <v>0</v>
      </c>
      <c r="S62" s="71">
        <f>Handling_Const_EF_PM10_RA*('Regional data'!$U16/2.2)^1.3/(Moisture_RA*100/2)^1.4</f>
        <v>0</v>
      </c>
      <c r="T62" s="73">
        <f>Handling_Const_EF_PM2.5_RA*('Regional data'!$U16/2.2)^1.3/(Moisture_RA*100/2)^1.4</f>
        <v>0</v>
      </c>
    </row>
    <row r="63" spans="2:20" x14ac:dyDescent="0.25">
      <c r="B63" s="69">
        <f>'Regional data'!B17</f>
        <v>0</v>
      </c>
      <c r="C63" s="141">
        <f>'Regional data'!F17*Prod_CR*Size_dist_LQ_CR</f>
        <v>0</v>
      </c>
      <c r="D63" s="142">
        <f>'Regional data'!G17*Prod_CR*Size_dist_MQ_CR</f>
        <v>0</v>
      </c>
      <c r="E63" s="142">
        <f>'Regional data'!H17*Prod_CR*Size_dist_SQ_CR</f>
        <v>0</v>
      </c>
      <c r="F63" s="71">
        <f>Handling_Const_EF_TSP_CR*('Regional data'!$U17/2.2)^1.3/(Moisture_CR*100/2)^1.4</f>
        <v>0</v>
      </c>
      <c r="G63" s="71">
        <f>Handling_Const_EF_PM10_CR*('Regional data'!$U17/2.2)^1.3/(Moisture_CR*100/2)^1.4</f>
        <v>0</v>
      </c>
      <c r="H63" s="72">
        <f>Handling_Const_EF_PM2.5_CR*('Regional data'!$U17/2.2)^1.3/(Moisture_CR*100/2)^1.4</f>
        <v>0</v>
      </c>
      <c r="I63" s="141">
        <f>'Regional data'!L17*Prod_SG*Size_dist_LQ_SG</f>
        <v>0</v>
      </c>
      <c r="J63" s="142">
        <f>'Regional data'!M17*Prod_SG*Size_dist_MQ_SG</f>
        <v>0</v>
      </c>
      <c r="K63" s="142">
        <f>'Regional data'!N17*Prod_SG*Size_dist_SQ_SG</f>
        <v>0</v>
      </c>
      <c r="L63" s="71">
        <f>Handling_Const_EF_TSP_SG*('Regional data'!$U17/2.2)^1.3/(Moisture_SG*100/2)^1.4</f>
        <v>0</v>
      </c>
      <c r="M63" s="71">
        <f>Handling_Const_EF_PM10_SG*('Regional data'!$U17/2.2)^1.3/(Moisture_SG*100/2)^1.4</f>
        <v>0</v>
      </c>
      <c r="N63" s="73">
        <f>Handling_Const_EF_PM2.5_SG*('Regional data'!$U17/2.2)^1.3/(Moisture_SG*100/2)^1.4</f>
        <v>0</v>
      </c>
      <c r="O63" s="141">
        <f>'Regional data'!R17*Prod_RA*Size_dist_LQ_RA</f>
        <v>0</v>
      </c>
      <c r="P63" s="142">
        <f>'Regional data'!S17*Prod_RA*Size_dist_MQ_RA</f>
        <v>0</v>
      </c>
      <c r="Q63" s="142">
        <f>'Regional data'!T17*Prod_RA*Size_dist_SQ_RA</f>
        <v>0</v>
      </c>
      <c r="R63" s="71">
        <f>Handling_Const_EF_TSP_RA*('Regional data'!$U17/2.2)^1.3/(Moisture_RA*100/2)^1.4</f>
        <v>0</v>
      </c>
      <c r="S63" s="71">
        <f>Handling_Const_EF_PM10_RA*('Regional data'!$U17/2.2)^1.3/(Moisture_RA*100/2)^1.4</f>
        <v>0</v>
      </c>
      <c r="T63" s="73">
        <f>Handling_Const_EF_PM2.5_RA*('Regional data'!$U17/2.2)^1.3/(Moisture_RA*100/2)^1.4</f>
        <v>0</v>
      </c>
    </row>
    <row r="64" spans="2:20" x14ac:dyDescent="0.25">
      <c r="B64" s="69">
        <f>'Regional data'!B18</f>
        <v>0</v>
      </c>
      <c r="C64" s="141">
        <f>'Regional data'!F18*Prod_CR*Size_dist_LQ_CR</f>
        <v>0</v>
      </c>
      <c r="D64" s="142">
        <f>'Regional data'!G18*Prod_CR*Size_dist_MQ_CR</f>
        <v>0</v>
      </c>
      <c r="E64" s="142">
        <f>'Regional data'!H18*Prod_CR*Size_dist_SQ_CR</f>
        <v>0</v>
      </c>
      <c r="F64" s="71">
        <f>Handling_Const_EF_TSP_CR*('Regional data'!$U18/2.2)^1.3/(Moisture_CR*100/2)^1.4</f>
        <v>0</v>
      </c>
      <c r="G64" s="71">
        <f>Handling_Const_EF_PM10_CR*('Regional data'!$U18/2.2)^1.3/(Moisture_CR*100/2)^1.4</f>
        <v>0</v>
      </c>
      <c r="H64" s="72">
        <f>Handling_Const_EF_PM2.5_CR*('Regional data'!$U18/2.2)^1.3/(Moisture_CR*100/2)^1.4</f>
        <v>0</v>
      </c>
      <c r="I64" s="141">
        <f>'Regional data'!L18*Prod_SG*Size_dist_LQ_SG</f>
        <v>0</v>
      </c>
      <c r="J64" s="142">
        <f>'Regional data'!M18*Prod_SG*Size_dist_MQ_SG</f>
        <v>0</v>
      </c>
      <c r="K64" s="142">
        <f>'Regional data'!N18*Prod_SG*Size_dist_SQ_SG</f>
        <v>0</v>
      </c>
      <c r="L64" s="71">
        <f>Handling_Const_EF_TSP_SG*('Regional data'!$U18/2.2)^1.3/(Moisture_SG*100/2)^1.4</f>
        <v>0</v>
      </c>
      <c r="M64" s="71">
        <f>Handling_Const_EF_PM10_SG*('Regional data'!$U18/2.2)^1.3/(Moisture_SG*100/2)^1.4</f>
        <v>0</v>
      </c>
      <c r="N64" s="73">
        <f>Handling_Const_EF_PM2.5_SG*('Regional data'!$U18/2.2)^1.3/(Moisture_SG*100/2)^1.4</f>
        <v>0</v>
      </c>
      <c r="O64" s="141">
        <f>'Regional data'!R18*Prod_RA*Size_dist_LQ_RA</f>
        <v>0</v>
      </c>
      <c r="P64" s="142">
        <f>'Regional data'!S18*Prod_RA*Size_dist_MQ_RA</f>
        <v>0</v>
      </c>
      <c r="Q64" s="142">
        <f>'Regional data'!T18*Prod_RA*Size_dist_SQ_RA</f>
        <v>0</v>
      </c>
      <c r="R64" s="71">
        <f>Handling_Const_EF_TSP_RA*('Regional data'!$U18/2.2)^1.3/(Moisture_RA*100/2)^1.4</f>
        <v>0</v>
      </c>
      <c r="S64" s="71">
        <f>Handling_Const_EF_PM10_RA*('Regional data'!$U18/2.2)^1.3/(Moisture_RA*100/2)^1.4</f>
        <v>0</v>
      </c>
      <c r="T64" s="73">
        <f>Handling_Const_EF_PM2.5_RA*('Regional data'!$U18/2.2)^1.3/(Moisture_RA*100/2)^1.4</f>
        <v>0</v>
      </c>
    </row>
    <row r="65" spans="2:20" x14ac:dyDescent="0.25">
      <c r="B65" s="69">
        <f>'Regional data'!B19</f>
        <v>0</v>
      </c>
      <c r="C65" s="141">
        <f>'Regional data'!F19*Prod_CR*Size_dist_LQ_CR</f>
        <v>0</v>
      </c>
      <c r="D65" s="142">
        <f>'Regional data'!G19*Prod_CR*Size_dist_MQ_CR</f>
        <v>0</v>
      </c>
      <c r="E65" s="142">
        <f>'Regional data'!H19*Prod_CR*Size_dist_SQ_CR</f>
        <v>0</v>
      </c>
      <c r="F65" s="71">
        <f>Handling_Const_EF_TSP_CR*('Regional data'!$U19/2.2)^1.3/(Moisture_CR*100/2)^1.4</f>
        <v>0</v>
      </c>
      <c r="G65" s="71">
        <f>Handling_Const_EF_PM10_CR*('Regional data'!$U19/2.2)^1.3/(Moisture_CR*100/2)^1.4</f>
        <v>0</v>
      </c>
      <c r="H65" s="72">
        <f>Handling_Const_EF_PM2.5_CR*('Regional data'!$U19/2.2)^1.3/(Moisture_CR*100/2)^1.4</f>
        <v>0</v>
      </c>
      <c r="I65" s="141">
        <f>'Regional data'!L19*Prod_SG*Size_dist_LQ_SG</f>
        <v>0</v>
      </c>
      <c r="J65" s="142">
        <f>'Regional data'!M19*Prod_SG*Size_dist_MQ_SG</f>
        <v>0</v>
      </c>
      <c r="K65" s="142">
        <f>'Regional data'!N19*Prod_SG*Size_dist_SQ_SG</f>
        <v>0</v>
      </c>
      <c r="L65" s="71">
        <f>Handling_Const_EF_TSP_SG*('Regional data'!$U19/2.2)^1.3/(Moisture_SG*100/2)^1.4</f>
        <v>0</v>
      </c>
      <c r="M65" s="71">
        <f>Handling_Const_EF_PM10_SG*('Regional data'!$U19/2.2)^1.3/(Moisture_SG*100/2)^1.4</f>
        <v>0</v>
      </c>
      <c r="N65" s="73">
        <f>Handling_Const_EF_PM2.5_SG*('Regional data'!$U19/2.2)^1.3/(Moisture_SG*100/2)^1.4</f>
        <v>0</v>
      </c>
      <c r="O65" s="141">
        <f>'Regional data'!R19*Prod_RA*Size_dist_LQ_RA</f>
        <v>0</v>
      </c>
      <c r="P65" s="142">
        <f>'Regional data'!S19*Prod_RA*Size_dist_MQ_RA</f>
        <v>0</v>
      </c>
      <c r="Q65" s="142">
        <f>'Regional data'!T19*Prod_RA*Size_dist_SQ_RA</f>
        <v>0</v>
      </c>
      <c r="R65" s="71">
        <f>Handling_Const_EF_TSP_RA*('Regional data'!$U19/2.2)^1.3/(Moisture_RA*100/2)^1.4</f>
        <v>0</v>
      </c>
      <c r="S65" s="71">
        <f>Handling_Const_EF_PM10_RA*('Regional data'!$U19/2.2)^1.3/(Moisture_RA*100/2)^1.4</f>
        <v>0</v>
      </c>
      <c r="T65" s="73">
        <f>Handling_Const_EF_PM2.5_RA*('Regional data'!$U19/2.2)^1.3/(Moisture_RA*100/2)^1.4</f>
        <v>0</v>
      </c>
    </row>
    <row r="66" spans="2:20" x14ac:dyDescent="0.25">
      <c r="B66" s="69">
        <f>'Regional data'!B20</f>
        <v>0</v>
      </c>
      <c r="C66" s="141">
        <f>'Regional data'!F20*Prod_CR*Size_dist_LQ_CR</f>
        <v>0</v>
      </c>
      <c r="D66" s="142">
        <f>'Regional data'!G20*Prod_CR*Size_dist_MQ_CR</f>
        <v>0</v>
      </c>
      <c r="E66" s="142">
        <f>'Regional data'!H20*Prod_CR*Size_dist_SQ_CR</f>
        <v>0</v>
      </c>
      <c r="F66" s="71">
        <f>Handling_Const_EF_TSP_CR*('Regional data'!$U20/2.2)^1.3/(Moisture_CR*100/2)^1.4</f>
        <v>0</v>
      </c>
      <c r="G66" s="71">
        <f>Handling_Const_EF_PM10_CR*('Regional data'!$U20/2.2)^1.3/(Moisture_CR*100/2)^1.4</f>
        <v>0</v>
      </c>
      <c r="H66" s="72">
        <f>Handling_Const_EF_PM2.5_CR*('Regional data'!$U20/2.2)^1.3/(Moisture_CR*100/2)^1.4</f>
        <v>0</v>
      </c>
      <c r="I66" s="141">
        <f>'Regional data'!L20*Prod_SG*Size_dist_LQ_SG</f>
        <v>0</v>
      </c>
      <c r="J66" s="142">
        <f>'Regional data'!M20*Prod_SG*Size_dist_MQ_SG</f>
        <v>0</v>
      </c>
      <c r="K66" s="142">
        <f>'Regional data'!N20*Prod_SG*Size_dist_SQ_SG</f>
        <v>0</v>
      </c>
      <c r="L66" s="71">
        <f>Handling_Const_EF_TSP_SG*('Regional data'!$U20/2.2)^1.3/(Moisture_SG*100/2)^1.4</f>
        <v>0</v>
      </c>
      <c r="M66" s="71">
        <f>Handling_Const_EF_PM10_SG*('Regional data'!$U20/2.2)^1.3/(Moisture_SG*100/2)^1.4</f>
        <v>0</v>
      </c>
      <c r="N66" s="73">
        <f>Handling_Const_EF_PM2.5_SG*('Regional data'!$U20/2.2)^1.3/(Moisture_SG*100/2)^1.4</f>
        <v>0</v>
      </c>
      <c r="O66" s="141">
        <f>'Regional data'!R20*Prod_RA*Size_dist_LQ_RA</f>
        <v>0</v>
      </c>
      <c r="P66" s="142">
        <f>'Regional data'!S20*Prod_RA*Size_dist_MQ_RA</f>
        <v>0</v>
      </c>
      <c r="Q66" s="142">
        <f>'Regional data'!T20*Prod_RA*Size_dist_SQ_RA</f>
        <v>0</v>
      </c>
      <c r="R66" s="71">
        <f>Handling_Const_EF_TSP_RA*('Regional data'!$U20/2.2)^1.3/(Moisture_RA*100/2)^1.4</f>
        <v>0</v>
      </c>
      <c r="S66" s="71">
        <f>Handling_Const_EF_PM10_RA*('Regional data'!$U20/2.2)^1.3/(Moisture_RA*100/2)^1.4</f>
        <v>0</v>
      </c>
      <c r="T66" s="73">
        <f>Handling_Const_EF_PM2.5_RA*('Regional data'!$U20/2.2)^1.3/(Moisture_RA*100/2)^1.4</f>
        <v>0</v>
      </c>
    </row>
    <row r="67" spans="2:20" x14ac:dyDescent="0.25">
      <c r="B67" s="69">
        <f>'Regional data'!B21</f>
        <v>0</v>
      </c>
      <c r="C67" s="141">
        <f>'Regional data'!F21*Prod_CR*Size_dist_LQ_CR</f>
        <v>0</v>
      </c>
      <c r="D67" s="142">
        <f>'Regional data'!G21*Prod_CR*Size_dist_MQ_CR</f>
        <v>0</v>
      </c>
      <c r="E67" s="142">
        <f>'Regional data'!H21*Prod_CR*Size_dist_SQ_CR</f>
        <v>0</v>
      </c>
      <c r="F67" s="71">
        <f>Handling_Const_EF_TSP_CR*('Regional data'!$U21/2.2)^1.3/(Moisture_CR*100/2)^1.4</f>
        <v>0</v>
      </c>
      <c r="G67" s="71">
        <f>Handling_Const_EF_PM10_CR*('Regional data'!$U21/2.2)^1.3/(Moisture_CR*100/2)^1.4</f>
        <v>0</v>
      </c>
      <c r="H67" s="72">
        <f>Handling_Const_EF_PM2.5_CR*('Regional data'!$U21/2.2)^1.3/(Moisture_CR*100/2)^1.4</f>
        <v>0</v>
      </c>
      <c r="I67" s="141">
        <f>'Regional data'!L21*Prod_SG*Size_dist_LQ_SG</f>
        <v>0</v>
      </c>
      <c r="J67" s="142">
        <f>'Regional data'!M21*Prod_SG*Size_dist_MQ_SG</f>
        <v>0</v>
      </c>
      <c r="K67" s="142">
        <f>'Regional data'!N21*Prod_SG*Size_dist_SQ_SG</f>
        <v>0</v>
      </c>
      <c r="L67" s="71">
        <f>Handling_Const_EF_TSP_SG*('Regional data'!$U21/2.2)^1.3/(Moisture_SG*100/2)^1.4</f>
        <v>0</v>
      </c>
      <c r="M67" s="71">
        <f>Handling_Const_EF_PM10_SG*('Regional data'!$U21/2.2)^1.3/(Moisture_SG*100/2)^1.4</f>
        <v>0</v>
      </c>
      <c r="N67" s="73">
        <f>Handling_Const_EF_PM2.5_SG*('Regional data'!$U21/2.2)^1.3/(Moisture_SG*100/2)^1.4</f>
        <v>0</v>
      </c>
      <c r="O67" s="141">
        <f>'Regional data'!R21*Prod_RA*Size_dist_LQ_RA</f>
        <v>0</v>
      </c>
      <c r="P67" s="142">
        <f>'Regional data'!S21*Prod_RA*Size_dist_MQ_RA</f>
        <v>0</v>
      </c>
      <c r="Q67" s="142">
        <f>'Regional data'!T21*Prod_RA*Size_dist_SQ_RA</f>
        <v>0</v>
      </c>
      <c r="R67" s="71">
        <f>Handling_Const_EF_TSP_RA*('Regional data'!$U21/2.2)^1.3/(Moisture_RA*100/2)^1.4</f>
        <v>0</v>
      </c>
      <c r="S67" s="71">
        <f>Handling_Const_EF_PM10_RA*('Regional data'!$U21/2.2)^1.3/(Moisture_RA*100/2)^1.4</f>
        <v>0</v>
      </c>
      <c r="T67" s="73">
        <f>Handling_Const_EF_PM2.5_RA*('Regional data'!$U21/2.2)^1.3/(Moisture_RA*100/2)^1.4</f>
        <v>0</v>
      </c>
    </row>
    <row r="68" spans="2:20" x14ac:dyDescent="0.25">
      <c r="B68" s="69">
        <f>'Regional data'!B22</f>
        <v>0</v>
      </c>
      <c r="C68" s="141">
        <f>'Regional data'!F22*Prod_CR*Size_dist_LQ_CR</f>
        <v>0</v>
      </c>
      <c r="D68" s="142">
        <f>'Regional data'!G22*Prod_CR*Size_dist_MQ_CR</f>
        <v>0</v>
      </c>
      <c r="E68" s="142">
        <f>'Regional data'!H22*Prod_CR*Size_dist_SQ_CR</f>
        <v>0</v>
      </c>
      <c r="F68" s="71">
        <f>Handling_Const_EF_TSP_CR*('Regional data'!$U22/2.2)^1.3/(Moisture_CR*100/2)^1.4</f>
        <v>0</v>
      </c>
      <c r="G68" s="71">
        <f>Handling_Const_EF_PM10_CR*('Regional data'!$U22/2.2)^1.3/(Moisture_CR*100/2)^1.4</f>
        <v>0</v>
      </c>
      <c r="H68" s="72">
        <f>Handling_Const_EF_PM2.5_CR*('Regional data'!$U22/2.2)^1.3/(Moisture_CR*100/2)^1.4</f>
        <v>0</v>
      </c>
      <c r="I68" s="141">
        <f>'Regional data'!L22*Prod_SG*Size_dist_LQ_SG</f>
        <v>0</v>
      </c>
      <c r="J68" s="142">
        <f>'Regional data'!M22*Prod_SG*Size_dist_MQ_SG</f>
        <v>0</v>
      </c>
      <c r="K68" s="142">
        <f>'Regional data'!N22*Prod_SG*Size_dist_SQ_SG</f>
        <v>0</v>
      </c>
      <c r="L68" s="71">
        <f>Handling_Const_EF_TSP_SG*('Regional data'!$U22/2.2)^1.3/(Moisture_SG*100/2)^1.4</f>
        <v>0</v>
      </c>
      <c r="M68" s="71">
        <f>Handling_Const_EF_PM10_SG*('Regional data'!$U22/2.2)^1.3/(Moisture_SG*100/2)^1.4</f>
        <v>0</v>
      </c>
      <c r="N68" s="73">
        <f>Handling_Const_EF_PM2.5_SG*('Regional data'!$U22/2.2)^1.3/(Moisture_SG*100/2)^1.4</f>
        <v>0</v>
      </c>
      <c r="O68" s="141">
        <f>'Regional data'!R22*Prod_RA*Size_dist_LQ_RA</f>
        <v>0</v>
      </c>
      <c r="P68" s="142">
        <f>'Regional data'!S22*Prod_RA*Size_dist_MQ_RA</f>
        <v>0</v>
      </c>
      <c r="Q68" s="142">
        <f>'Regional data'!T22*Prod_RA*Size_dist_SQ_RA</f>
        <v>0</v>
      </c>
      <c r="R68" s="71">
        <f>Handling_Const_EF_TSP_RA*('Regional data'!$U22/2.2)^1.3/(Moisture_RA*100/2)^1.4</f>
        <v>0</v>
      </c>
      <c r="S68" s="71">
        <f>Handling_Const_EF_PM10_RA*('Regional data'!$U22/2.2)^1.3/(Moisture_RA*100/2)^1.4</f>
        <v>0</v>
      </c>
      <c r="T68" s="73">
        <f>Handling_Const_EF_PM2.5_RA*('Regional data'!$U22/2.2)^1.3/(Moisture_RA*100/2)^1.4</f>
        <v>0</v>
      </c>
    </row>
    <row r="69" spans="2:20" x14ac:dyDescent="0.25">
      <c r="B69" s="69">
        <f>'Regional data'!B23</f>
        <v>0</v>
      </c>
      <c r="C69" s="141">
        <f>'Regional data'!F23*Prod_CR*Size_dist_LQ_CR</f>
        <v>0</v>
      </c>
      <c r="D69" s="142">
        <f>'Regional data'!G23*Prod_CR*Size_dist_MQ_CR</f>
        <v>0</v>
      </c>
      <c r="E69" s="142">
        <f>'Regional data'!H23*Prod_CR*Size_dist_SQ_CR</f>
        <v>0</v>
      </c>
      <c r="F69" s="71">
        <f>Handling_Const_EF_TSP_CR*('Regional data'!$U23/2.2)^1.3/(Moisture_CR*100/2)^1.4</f>
        <v>0</v>
      </c>
      <c r="G69" s="71">
        <f>Handling_Const_EF_PM10_CR*('Regional data'!$U23/2.2)^1.3/(Moisture_CR*100/2)^1.4</f>
        <v>0</v>
      </c>
      <c r="H69" s="72">
        <f>Handling_Const_EF_PM2.5_CR*('Regional data'!$U23/2.2)^1.3/(Moisture_CR*100/2)^1.4</f>
        <v>0</v>
      </c>
      <c r="I69" s="141">
        <f>'Regional data'!L23*Prod_SG*Size_dist_LQ_SG</f>
        <v>0</v>
      </c>
      <c r="J69" s="142">
        <f>'Regional data'!M23*Prod_SG*Size_dist_MQ_SG</f>
        <v>0</v>
      </c>
      <c r="K69" s="142">
        <f>'Regional data'!N23*Prod_SG*Size_dist_SQ_SG</f>
        <v>0</v>
      </c>
      <c r="L69" s="71">
        <f>Handling_Const_EF_TSP_SG*('Regional data'!$U23/2.2)^1.3/(Moisture_SG*100/2)^1.4</f>
        <v>0</v>
      </c>
      <c r="M69" s="71">
        <f>Handling_Const_EF_PM10_SG*('Regional data'!$U23/2.2)^1.3/(Moisture_SG*100/2)^1.4</f>
        <v>0</v>
      </c>
      <c r="N69" s="73">
        <f>Handling_Const_EF_PM2.5_SG*('Regional data'!$U23/2.2)^1.3/(Moisture_SG*100/2)^1.4</f>
        <v>0</v>
      </c>
      <c r="O69" s="141">
        <f>'Regional data'!R23*Prod_RA*Size_dist_LQ_RA</f>
        <v>0</v>
      </c>
      <c r="P69" s="142">
        <f>'Regional data'!S23*Prod_RA*Size_dist_MQ_RA</f>
        <v>0</v>
      </c>
      <c r="Q69" s="142">
        <f>'Regional data'!T23*Prod_RA*Size_dist_SQ_RA</f>
        <v>0</v>
      </c>
      <c r="R69" s="71">
        <f>Handling_Const_EF_TSP_RA*('Regional data'!$U23/2.2)^1.3/(Moisture_RA*100/2)^1.4</f>
        <v>0</v>
      </c>
      <c r="S69" s="71">
        <f>Handling_Const_EF_PM10_RA*('Regional data'!$U23/2.2)^1.3/(Moisture_RA*100/2)^1.4</f>
        <v>0</v>
      </c>
      <c r="T69" s="73">
        <f>Handling_Const_EF_PM2.5_RA*('Regional data'!$U23/2.2)^1.3/(Moisture_RA*100/2)^1.4</f>
        <v>0</v>
      </c>
    </row>
    <row r="70" spans="2:20" x14ac:dyDescent="0.25">
      <c r="B70" s="69">
        <f>'Regional data'!B24</f>
        <v>0</v>
      </c>
      <c r="C70" s="141">
        <f>'Regional data'!F24*Prod_CR*Size_dist_LQ_CR</f>
        <v>0</v>
      </c>
      <c r="D70" s="142">
        <f>'Regional data'!G24*Prod_CR*Size_dist_MQ_CR</f>
        <v>0</v>
      </c>
      <c r="E70" s="142">
        <f>'Regional data'!H24*Prod_CR*Size_dist_SQ_CR</f>
        <v>0</v>
      </c>
      <c r="F70" s="71">
        <f>Handling_Const_EF_TSP_CR*('Regional data'!$U24/2.2)^1.3/(Moisture_CR*100/2)^1.4</f>
        <v>0</v>
      </c>
      <c r="G70" s="71">
        <f>Handling_Const_EF_PM10_CR*('Regional data'!$U24/2.2)^1.3/(Moisture_CR*100/2)^1.4</f>
        <v>0</v>
      </c>
      <c r="H70" s="72">
        <f>Handling_Const_EF_PM2.5_CR*('Regional data'!$U24/2.2)^1.3/(Moisture_CR*100/2)^1.4</f>
        <v>0</v>
      </c>
      <c r="I70" s="141">
        <f>'Regional data'!L24*Prod_SG*Size_dist_LQ_SG</f>
        <v>0</v>
      </c>
      <c r="J70" s="142">
        <f>'Regional data'!M24*Prod_SG*Size_dist_MQ_SG</f>
        <v>0</v>
      </c>
      <c r="K70" s="142">
        <f>'Regional data'!N24*Prod_SG*Size_dist_SQ_SG</f>
        <v>0</v>
      </c>
      <c r="L70" s="71">
        <f>Handling_Const_EF_TSP_SG*('Regional data'!$U24/2.2)^1.3/(Moisture_SG*100/2)^1.4</f>
        <v>0</v>
      </c>
      <c r="M70" s="71">
        <f>Handling_Const_EF_PM10_SG*('Regional data'!$U24/2.2)^1.3/(Moisture_SG*100/2)^1.4</f>
        <v>0</v>
      </c>
      <c r="N70" s="73">
        <f>Handling_Const_EF_PM2.5_SG*('Regional data'!$U24/2.2)^1.3/(Moisture_SG*100/2)^1.4</f>
        <v>0</v>
      </c>
      <c r="O70" s="141">
        <f>'Regional data'!R24*Prod_RA*Size_dist_LQ_RA</f>
        <v>0</v>
      </c>
      <c r="P70" s="142">
        <f>'Regional data'!S24*Prod_RA*Size_dist_MQ_RA</f>
        <v>0</v>
      </c>
      <c r="Q70" s="142">
        <f>'Regional data'!T24*Prod_RA*Size_dist_SQ_RA</f>
        <v>0</v>
      </c>
      <c r="R70" s="71">
        <f>Handling_Const_EF_TSP_RA*('Regional data'!$U24/2.2)^1.3/(Moisture_RA*100/2)^1.4</f>
        <v>0</v>
      </c>
      <c r="S70" s="71">
        <f>Handling_Const_EF_PM10_RA*('Regional data'!$U24/2.2)^1.3/(Moisture_RA*100/2)^1.4</f>
        <v>0</v>
      </c>
      <c r="T70" s="73">
        <f>Handling_Const_EF_PM2.5_RA*('Regional data'!$U24/2.2)^1.3/(Moisture_RA*100/2)^1.4</f>
        <v>0</v>
      </c>
    </row>
    <row r="71" spans="2:20" x14ac:dyDescent="0.25">
      <c r="B71" s="69">
        <f>'Regional data'!B25</f>
        <v>0</v>
      </c>
      <c r="C71" s="141">
        <f>'Regional data'!F25*Prod_CR*Size_dist_LQ_CR</f>
        <v>0</v>
      </c>
      <c r="D71" s="142">
        <f>'Regional data'!G25*Prod_CR*Size_dist_MQ_CR</f>
        <v>0</v>
      </c>
      <c r="E71" s="142">
        <f>'Regional data'!H25*Prod_CR*Size_dist_SQ_CR</f>
        <v>0</v>
      </c>
      <c r="F71" s="71">
        <f>Handling_Const_EF_TSP_CR*('Regional data'!$U25/2.2)^1.3/(Moisture_CR*100/2)^1.4</f>
        <v>0</v>
      </c>
      <c r="G71" s="71">
        <f>Handling_Const_EF_PM10_CR*('Regional data'!$U25/2.2)^1.3/(Moisture_CR*100/2)^1.4</f>
        <v>0</v>
      </c>
      <c r="H71" s="72">
        <f>Handling_Const_EF_PM2.5_CR*('Regional data'!$U25/2.2)^1.3/(Moisture_CR*100/2)^1.4</f>
        <v>0</v>
      </c>
      <c r="I71" s="141">
        <f>'Regional data'!L25*Prod_SG*Size_dist_LQ_SG</f>
        <v>0</v>
      </c>
      <c r="J71" s="142">
        <f>'Regional data'!M25*Prod_SG*Size_dist_MQ_SG</f>
        <v>0</v>
      </c>
      <c r="K71" s="142">
        <f>'Regional data'!N25*Prod_SG*Size_dist_SQ_SG</f>
        <v>0</v>
      </c>
      <c r="L71" s="71">
        <f>Handling_Const_EF_TSP_SG*('Regional data'!$U25/2.2)^1.3/(Moisture_SG*100/2)^1.4</f>
        <v>0</v>
      </c>
      <c r="M71" s="71">
        <f>Handling_Const_EF_PM10_SG*('Regional data'!$U25/2.2)^1.3/(Moisture_SG*100/2)^1.4</f>
        <v>0</v>
      </c>
      <c r="N71" s="73">
        <f>Handling_Const_EF_PM2.5_SG*('Regional data'!$U25/2.2)^1.3/(Moisture_SG*100/2)^1.4</f>
        <v>0</v>
      </c>
      <c r="O71" s="141">
        <f>'Regional data'!R25*Prod_RA*Size_dist_LQ_RA</f>
        <v>0</v>
      </c>
      <c r="P71" s="142">
        <f>'Regional data'!S25*Prod_RA*Size_dist_MQ_RA</f>
        <v>0</v>
      </c>
      <c r="Q71" s="142">
        <f>'Regional data'!T25*Prod_RA*Size_dist_SQ_RA</f>
        <v>0</v>
      </c>
      <c r="R71" s="71">
        <f>Handling_Const_EF_TSP_RA*('Regional data'!$U25/2.2)^1.3/(Moisture_RA*100/2)^1.4</f>
        <v>0</v>
      </c>
      <c r="S71" s="71">
        <f>Handling_Const_EF_PM10_RA*('Regional data'!$U25/2.2)^1.3/(Moisture_RA*100/2)^1.4</f>
        <v>0</v>
      </c>
      <c r="T71" s="73">
        <f>Handling_Const_EF_PM2.5_RA*('Regional data'!$U25/2.2)^1.3/(Moisture_RA*100/2)^1.4</f>
        <v>0</v>
      </c>
    </row>
    <row r="72" spans="2:20" x14ac:dyDescent="0.25">
      <c r="B72" s="69">
        <f>'Regional data'!B26</f>
        <v>0</v>
      </c>
      <c r="C72" s="141">
        <f>'Regional data'!F26*Prod_CR*Size_dist_LQ_CR</f>
        <v>0</v>
      </c>
      <c r="D72" s="142">
        <f>'Regional data'!G26*Prod_CR*Size_dist_MQ_CR</f>
        <v>0</v>
      </c>
      <c r="E72" s="142">
        <f>'Regional data'!H26*Prod_CR*Size_dist_SQ_CR</f>
        <v>0</v>
      </c>
      <c r="F72" s="71">
        <f>Handling_Const_EF_TSP_CR*('Regional data'!$U26/2.2)^1.3/(Moisture_CR*100/2)^1.4</f>
        <v>0</v>
      </c>
      <c r="G72" s="71">
        <f>Handling_Const_EF_PM10_CR*('Regional data'!$U26/2.2)^1.3/(Moisture_CR*100/2)^1.4</f>
        <v>0</v>
      </c>
      <c r="H72" s="72">
        <f>Handling_Const_EF_PM2.5_CR*('Regional data'!$U26/2.2)^1.3/(Moisture_CR*100/2)^1.4</f>
        <v>0</v>
      </c>
      <c r="I72" s="141">
        <f>'Regional data'!L26*Prod_SG*Size_dist_LQ_SG</f>
        <v>0</v>
      </c>
      <c r="J72" s="142">
        <f>'Regional data'!M26*Prod_SG*Size_dist_MQ_SG</f>
        <v>0</v>
      </c>
      <c r="K72" s="142">
        <f>'Regional data'!N26*Prod_SG*Size_dist_SQ_SG</f>
        <v>0</v>
      </c>
      <c r="L72" s="71">
        <f>Handling_Const_EF_TSP_SG*('Regional data'!$U26/2.2)^1.3/(Moisture_SG*100/2)^1.4</f>
        <v>0</v>
      </c>
      <c r="M72" s="71">
        <f>Handling_Const_EF_PM10_SG*('Regional data'!$U26/2.2)^1.3/(Moisture_SG*100/2)^1.4</f>
        <v>0</v>
      </c>
      <c r="N72" s="73">
        <f>Handling_Const_EF_PM2.5_SG*('Regional data'!$U26/2.2)^1.3/(Moisture_SG*100/2)^1.4</f>
        <v>0</v>
      </c>
      <c r="O72" s="141">
        <f>'Regional data'!R26*Prod_RA*Size_dist_LQ_RA</f>
        <v>0</v>
      </c>
      <c r="P72" s="142">
        <f>'Regional data'!S26*Prod_RA*Size_dist_MQ_RA</f>
        <v>0</v>
      </c>
      <c r="Q72" s="142">
        <f>'Regional data'!T26*Prod_RA*Size_dist_SQ_RA</f>
        <v>0</v>
      </c>
      <c r="R72" s="71">
        <f>Handling_Const_EF_TSP_RA*('Regional data'!$U26/2.2)^1.3/(Moisture_RA*100/2)^1.4</f>
        <v>0</v>
      </c>
      <c r="S72" s="71">
        <f>Handling_Const_EF_PM10_RA*('Regional data'!$U26/2.2)^1.3/(Moisture_RA*100/2)^1.4</f>
        <v>0</v>
      </c>
      <c r="T72" s="73">
        <f>Handling_Const_EF_PM2.5_RA*('Regional data'!$U26/2.2)^1.3/(Moisture_RA*100/2)^1.4</f>
        <v>0</v>
      </c>
    </row>
    <row r="73" spans="2:20" x14ac:dyDescent="0.25">
      <c r="B73" s="69">
        <f>'Regional data'!B27</f>
        <v>0</v>
      </c>
      <c r="C73" s="141">
        <f>'Regional data'!F27*Prod_CR*Size_dist_LQ_CR</f>
        <v>0</v>
      </c>
      <c r="D73" s="142">
        <f>'Regional data'!G27*Prod_CR*Size_dist_MQ_CR</f>
        <v>0</v>
      </c>
      <c r="E73" s="142">
        <f>'Regional data'!H27*Prod_CR*Size_dist_SQ_CR</f>
        <v>0</v>
      </c>
      <c r="F73" s="71">
        <f>Handling_Const_EF_TSP_CR*('Regional data'!$U27/2.2)^1.3/(Moisture_CR*100/2)^1.4</f>
        <v>0</v>
      </c>
      <c r="G73" s="71">
        <f>Handling_Const_EF_PM10_CR*('Regional data'!$U27/2.2)^1.3/(Moisture_CR*100/2)^1.4</f>
        <v>0</v>
      </c>
      <c r="H73" s="72">
        <f>Handling_Const_EF_PM2.5_CR*('Regional data'!$U27/2.2)^1.3/(Moisture_CR*100/2)^1.4</f>
        <v>0</v>
      </c>
      <c r="I73" s="141">
        <f>'Regional data'!L27*Prod_SG*Size_dist_LQ_SG</f>
        <v>0</v>
      </c>
      <c r="J73" s="142">
        <f>'Regional data'!M27*Prod_SG*Size_dist_MQ_SG</f>
        <v>0</v>
      </c>
      <c r="K73" s="142">
        <f>'Regional data'!N27*Prod_SG*Size_dist_SQ_SG</f>
        <v>0</v>
      </c>
      <c r="L73" s="71">
        <f>Handling_Const_EF_TSP_SG*('Regional data'!$U27/2.2)^1.3/(Moisture_SG*100/2)^1.4</f>
        <v>0</v>
      </c>
      <c r="M73" s="71">
        <f>Handling_Const_EF_PM10_SG*('Regional data'!$U27/2.2)^1.3/(Moisture_SG*100/2)^1.4</f>
        <v>0</v>
      </c>
      <c r="N73" s="73">
        <f>Handling_Const_EF_PM2.5_SG*('Regional data'!$U27/2.2)^1.3/(Moisture_SG*100/2)^1.4</f>
        <v>0</v>
      </c>
      <c r="O73" s="141">
        <f>'Regional data'!R27*Prod_RA*Size_dist_LQ_RA</f>
        <v>0</v>
      </c>
      <c r="P73" s="142">
        <f>'Regional data'!S27*Prod_RA*Size_dist_MQ_RA</f>
        <v>0</v>
      </c>
      <c r="Q73" s="142">
        <f>'Regional data'!T27*Prod_RA*Size_dist_SQ_RA</f>
        <v>0</v>
      </c>
      <c r="R73" s="71">
        <f>Handling_Const_EF_TSP_RA*('Regional data'!$U27/2.2)^1.3/(Moisture_RA*100/2)^1.4</f>
        <v>0</v>
      </c>
      <c r="S73" s="71">
        <f>Handling_Const_EF_PM10_RA*('Regional data'!$U27/2.2)^1.3/(Moisture_RA*100/2)^1.4</f>
        <v>0</v>
      </c>
      <c r="T73" s="73">
        <f>Handling_Const_EF_PM2.5_RA*('Regional data'!$U27/2.2)^1.3/(Moisture_RA*100/2)^1.4</f>
        <v>0</v>
      </c>
    </row>
    <row r="74" spans="2:20" x14ac:dyDescent="0.25">
      <c r="B74" s="69">
        <f>'Regional data'!B28</f>
        <v>0</v>
      </c>
      <c r="C74" s="141">
        <f>'Regional data'!F28*Prod_CR*Size_dist_LQ_CR</f>
        <v>0</v>
      </c>
      <c r="D74" s="142">
        <f>'Regional data'!G28*Prod_CR*Size_dist_MQ_CR</f>
        <v>0</v>
      </c>
      <c r="E74" s="142">
        <f>'Regional data'!H28*Prod_CR*Size_dist_SQ_CR</f>
        <v>0</v>
      </c>
      <c r="F74" s="71">
        <f>Handling_Const_EF_TSP_CR*('Regional data'!$U28/2.2)^1.3/(Moisture_CR*100/2)^1.4</f>
        <v>0</v>
      </c>
      <c r="G74" s="71">
        <f>Handling_Const_EF_PM10_CR*('Regional data'!$U28/2.2)^1.3/(Moisture_CR*100/2)^1.4</f>
        <v>0</v>
      </c>
      <c r="H74" s="72">
        <f>Handling_Const_EF_PM2.5_CR*('Regional data'!$U28/2.2)^1.3/(Moisture_CR*100/2)^1.4</f>
        <v>0</v>
      </c>
      <c r="I74" s="141">
        <f>'Regional data'!L28*Prod_SG*Size_dist_LQ_SG</f>
        <v>0</v>
      </c>
      <c r="J74" s="142">
        <f>'Regional data'!M28*Prod_SG*Size_dist_MQ_SG</f>
        <v>0</v>
      </c>
      <c r="K74" s="142">
        <f>'Regional data'!N28*Prod_SG*Size_dist_SQ_SG</f>
        <v>0</v>
      </c>
      <c r="L74" s="71">
        <f>Handling_Const_EF_TSP_SG*('Regional data'!$U28/2.2)^1.3/(Moisture_SG*100/2)^1.4</f>
        <v>0</v>
      </c>
      <c r="M74" s="71">
        <f>Handling_Const_EF_PM10_SG*('Regional data'!$U28/2.2)^1.3/(Moisture_SG*100/2)^1.4</f>
        <v>0</v>
      </c>
      <c r="N74" s="73">
        <f>Handling_Const_EF_PM2.5_SG*('Regional data'!$U28/2.2)^1.3/(Moisture_SG*100/2)^1.4</f>
        <v>0</v>
      </c>
      <c r="O74" s="141">
        <f>'Regional data'!R28*Prod_RA*Size_dist_LQ_RA</f>
        <v>0</v>
      </c>
      <c r="P74" s="142">
        <f>'Regional data'!S28*Prod_RA*Size_dist_MQ_RA</f>
        <v>0</v>
      </c>
      <c r="Q74" s="142">
        <f>'Regional data'!T28*Prod_RA*Size_dist_SQ_RA</f>
        <v>0</v>
      </c>
      <c r="R74" s="71">
        <f>Handling_Const_EF_TSP_RA*('Regional data'!$U28/2.2)^1.3/(Moisture_RA*100/2)^1.4</f>
        <v>0</v>
      </c>
      <c r="S74" s="71">
        <f>Handling_Const_EF_PM10_RA*('Regional data'!$U28/2.2)^1.3/(Moisture_RA*100/2)^1.4</f>
        <v>0</v>
      </c>
      <c r="T74" s="73">
        <f>Handling_Const_EF_PM2.5_RA*('Regional data'!$U28/2.2)^1.3/(Moisture_RA*100/2)^1.4</f>
        <v>0</v>
      </c>
    </row>
    <row r="75" spans="2:20" x14ac:dyDescent="0.25">
      <c r="B75" s="69">
        <f>'Regional data'!B29</f>
        <v>0</v>
      </c>
      <c r="C75" s="141">
        <f>'Regional data'!F29*Prod_CR*Size_dist_LQ_CR</f>
        <v>0</v>
      </c>
      <c r="D75" s="142">
        <f>'Regional data'!G29*Prod_CR*Size_dist_MQ_CR</f>
        <v>0</v>
      </c>
      <c r="E75" s="142">
        <f>'Regional data'!H29*Prod_CR*Size_dist_SQ_CR</f>
        <v>0</v>
      </c>
      <c r="F75" s="71">
        <f>Handling_Const_EF_TSP_CR*('Regional data'!$U29/2.2)^1.3/(Moisture_CR*100/2)^1.4</f>
        <v>0</v>
      </c>
      <c r="G75" s="71">
        <f>Handling_Const_EF_PM10_CR*('Regional data'!$U29/2.2)^1.3/(Moisture_CR*100/2)^1.4</f>
        <v>0</v>
      </c>
      <c r="H75" s="72">
        <f>Handling_Const_EF_PM2.5_CR*('Regional data'!$U29/2.2)^1.3/(Moisture_CR*100/2)^1.4</f>
        <v>0</v>
      </c>
      <c r="I75" s="141">
        <f>'Regional data'!L29*Prod_SG*Size_dist_LQ_SG</f>
        <v>0</v>
      </c>
      <c r="J75" s="142">
        <f>'Regional data'!M29*Prod_SG*Size_dist_MQ_SG</f>
        <v>0</v>
      </c>
      <c r="K75" s="142">
        <f>'Regional data'!N29*Prod_SG*Size_dist_SQ_SG</f>
        <v>0</v>
      </c>
      <c r="L75" s="71">
        <f>Handling_Const_EF_TSP_SG*('Regional data'!$U29/2.2)^1.3/(Moisture_SG*100/2)^1.4</f>
        <v>0</v>
      </c>
      <c r="M75" s="71">
        <f>Handling_Const_EF_PM10_SG*('Regional data'!$U29/2.2)^1.3/(Moisture_SG*100/2)^1.4</f>
        <v>0</v>
      </c>
      <c r="N75" s="73">
        <f>Handling_Const_EF_PM2.5_SG*('Regional data'!$U29/2.2)^1.3/(Moisture_SG*100/2)^1.4</f>
        <v>0</v>
      </c>
      <c r="O75" s="141">
        <f>'Regional data'!R29*Prod_RA*Size_dist_LQ_RA</f>
        <v>0</v>
      </c>
      <c r="P75" s="142">
        <f>'Regional data'!S29*Prod_RA*Size_dist_MQ_RA</f>
        <v>0</v>
      </c>
      <c r="Q75" s="142">
        <f>'Regional data'!T29*Prod_RA*Size_dist_SQ_RA</f>
        <v>0</v>
      </c>
      <c r="R75" s="71">
        <f>Handling_Const_EF_TSP_RA*('Regional data'!$U29/2.2)^1.3/(Moisture_RA*100/2)^1.4</f>
        <v>0</v>
      </c>
      <c r="S75" s="71">
        <f>Handling_Const_EF_PM10_RA*('Regional data'!$U29/2.2)^1.3/(Moisture_RA*100/2)^1.4</f>
        <v>0</v>
      </c>
      <c r="T75" s="73">
        <f>Handling_Const_EF_PM2.5_RA*('Regional data'!$U29/2.2)^1.3/(Moisture_RA*100/2)^1.4</f>
        <v>0</v>
      </c>
    </row>
    <row r="76" spans="2:20" x14ac:dyDescent="0.25">
      <c r="B76" s="69">
        <f>'Regional data'!B30</f>
        <v>0</v>
      </c>
      <c r="C76" s="141">
        <f>'Regional data'!F30*Prod_CR*Size_dist_LQ_CR</f>
        <v>0</v>
      </c>
      <c r="D76" s="142">
        <f>'Regional data'!G30*Prod_CR*Size_dist_MQ_CR</f>
        <v>0</v>
      </c>
      <c r="E76" s="142">
        <f>'Regional data'!H30*Prod_CR*Size_dist_SQ_CR</f>
        <v>0</v>
      </c>
      <c r="F76" s="71">
        <f>Handling_Const_EF_TSP_CR*('Regional data'!$U30/2.2)^1.3/(Moisture_CR*100/2)^1.4</f>
        <v>0</v>
      </c>
      <c r="G76" s="71">
        <f>Handling_Const_EF_PM10_CR*('Regional data'!$U30/2.2)^1.3/(Moisture_CR*100/2)^1.4</f>
        <v>0</v>
      </c>
      <c r="H76" s="72">
        <f>Handling_Const_EF_PM2.5_CR*('Regional data'!$U30/2.2)^1.3/(Moisture_CR*100/2)^1.4</f>
        <v>0</v>
      </c>
      <c r="I76" s="141">
        <f>'Regional data'!L30*Prod_SG*Size_dist_LQ_SG</f>
        <v>0</v>
      </c>
      <c r="J76" s="142">
        <f>'Regional data'!M30*Prod_SG*Size_dist_MQ_SG</f>
        <v>0</v>
      </c>
      <c r="K76" s="142">
        <f>'Regional data'!N30*Prod_SG*Size_dist_SQ_SG</f>
        <v>0</v>
      </c>
      <c r="L76" s="71">
        <f>Handling_Const_EF_TSP_SG*('Regional data'!$U30/2.2)^1.3/(Moisture_SG*100/2)^1.4</f>
        <v>0</v>
      </c>
      <c r="M76" s="71">
        <f>Handling_Const_EF_PM10_SG*('Regional data'!$U30/2.2)^1.3/(Moisture_SG*100/2)^1.4</f>
        <v>0</v>
      </c>
      <c r="N76" s="73">
        <f>Handling_Const_EF_PM2.5_SG*('Regional data'!$U30/2.2)^1.3/(Moisture_SG*100/2)^1.4</f>
        <v>0</v>
      </c>
      <c r="O76" s="141">
        <f>'Regional data'!R30*Prod_RA*Size_dist_LQ_RA</f>
        <v>0</v>
      </c>
      <c r="P76" s="142">
        <f>'Regional data'!S30*Prod_RA*Size_dist_MQ_RA</f>
        <v>0</v>
      </c>
      <c r="Q76" s="142">
        <f>'Regional data'!T30*Prod_RA*Size_dist_SQ_RA</f>
        <v>0</v>
      </c>
      <c r="R76" s="71">
        <f>Handling_Const_EF_TSP_RA*('Regional data'!$U30/2.2)^1.3/(Moisture_RA*100/2)^1.4</f>
        <v>0</v>
      </c>
      <c r="S76" s="71">
        <f>Handling_Const_EF_PM10_RA*('Regional data'!$U30/2.2)^1.3/(Moisture_RA*100/2)^1.4</f>
        <v>0</v>
      </c>
      <c r="T76" s="73">
        <f>Handling_Const_EF_PM2.5_RA*('Regional data'!$U30/2.2)^1.3/(Moisture_RA*100/2)^1.4</f>
        <v>0</v>
      </c>
    </row>
    <row r="77" spans="2:20" x14ac:dyDescent="0.25">
      <c r="B77" s="69">
        <f>'Regional data'!B31</f>
        <v>0</v>
      </c>
      <c r="C77" s="141">
        <f>'Regional data'!F31*Prod_CR*Size_dist_LQ_CR</f>
        <v>0</v>
      </c>
      <c r="D77" s="142">
        <f>'Regional data'!G31*Prod_CR*Size_dist_MQ_CR</f>
        <v>0</v>
      </c>
      <c r="E77" s="142">
        <f>'Regional data'!H31*Prod_CR*Size_dist_SQ_CR</f>
        <v>0</v>
      </c>
      <c r="F77" s="71">
        <f>Handling_Const_EF_TSP_CR*('Regional data'!$U31/2.2)^1.3/(Moisture_CR*100/2)^1.4</f>
        <v>0</v>
      </c>
      <c r="G77" s="71">
        <f>Handling_Const_EF_PM10_CR*('Regional data'!$U31/2.2)^1.3/(Moisture_CR*100/2)^1.4</f>
        <v>0</v>
      </c>
      <c r="H77" s="72">
        <f>Handling_Const_EF_PM2.5_CR*('Regional data'!$U31/2.2)^1.3/(Moisture_CR*100/2)^1.4</f>
        <v>0</v>
      </c>
      <c r="I77" s="141">
        <f>'Regional data'!L31*Prod_SG*Size_dist_LQ_SG</f>
        <v>0</v>
      </c>
      <c r="J77" s="142">
        <f>'Regional data'!M31*Prod_SG*Size_dist_MQ_SG</f>
        <v>0</v>
      </c>
      <c r="K77" s="142">
        <f>'Regional data'!N31*Prod_SG*Size_dist_SQ_SG</f>
        <v>0</v>
      </c>
      <c r="L77" s="71">
        <f>Handling_Const_EF_TSP_SG*('Regional data'!$U31/2.2)^1.3/(Moisture_SG*100/2)^1.4</f>
        <v>0</v>
      </c>
      <c r="M77" s="71">
        <f>Handling_Const_EF_PM10_SG*('Regional data'!$U31/2.2)^1.3/(Moisture_SG*100/2)^1.4</f>
        <v>0</v>
      </c>
      <c r="N77" s="73">
        <f>Handling_Const_EF_PM2.5_SG*('Regional data'!$U31/2.2)^1.3/(Moisture_SG*100/2)^1.4</f>
        <v>0</v>
      </c>
      <c r="O77" s="141">
        <f>'Regional data'!R31*Prod_RA*Size_dist_LQ_RA</f>
        <v>0</v>
      </c>
      <c r="P77" s="142">
        <f>'Regional data'!S31*Prod_RA*Size_dist_MQ_RA</f>
        <v>0</v>
      </c>
      <c r="Q77" s="142">
        <f>'Regional data'!T31*Prod_RA*Size_dist_SQ_RA</f>
        <v>0</v>
      </c>
      <c r="R77" s="71">
        <f>Handling_Const_EF_TSP_RA*('Regional data'!$U31/2.2)^1.3/(Moisture_RA*100/2)^1.4</f>
        <v>0</v>
      </c>
      <c r="S77" s="71">
        <f>Handling_Const_EF_PM10_RA*('Regional data'!$U31/2.2)^1.3/(Moisture_RA*100/2)^1.4</f>
        <v>0</v>
      </c>
      <c r="T77" s="73">
        <f>Handling_Const_EF_PM2.5_RA*('Regional data'!$U31/2.2)^1.3/(Moisture_RA*100/2)^1.4</f>
        <v>0</v>
      </c>
    </row>
    <row r="78" spans="2:20" x14ac:dyDescent="0.25">
      <c r="B78" s="69">
        <f>'Regional data'!B32</f>
        <v>0</v>
      </c>
      <c r="C78" s="141">
        <f>'Regional data'!F32*Prod_CR*Size_dist_LQ_CR</f>
        <v>0</v>
      </c>
      <c r="D78" s="142">
        <f>'Regional data'!G32*Prod_CR*Size_dist_MQ_CR</f>
        <v>0</v>
      </c>
      <c r="E78" s="142">
        <f>'Regional data'!H32*Prod_CR*Size_dist_SQ_CR</f>
        <v>0</v>
      </c>
      <c r="F78" s="71">
        <f>Handling_Const_EF_TSP_CR*('Regional data'!$U32/2.2)^1.3/(Moisture_CR*100/2)^1.4</f>
        <v>0</v>
      </c>
      <c r="G78" s="71">
        <f>Handling_Const_EF_PM10_CR*('Regional data'!$U32/2.2)^1.3/(Moisture_CR*100/2)^1.4</f>
        <v>0</v>
      </c>
      <c r="H78" s="72">
        <f>Handling_Const_EF_PM2.5_CR*('Regional data'!$U32/2.2)^1.3/(Moisture_CR*100/2)^1.4</f>
        <v>0</v>
      </c>
      <c r="I78" s="141">
        <f>'Regional data'!L32*Prod_SG*Size_dist_LQ_SG</f>
        <v>0</v>
      </c>
      <c r="J78" s="142">
        <f>'Regional data'!M32*Prod_SG*Size_dist_MQ_SG</f>
        <v>0</v>
      </c>
      <c r="K78" s="142">
        <f>'Regional data'!N32*Prod_SG*Size_dist_SQ_SG</f>
        <v>0</v>
      </c>
      <c r="L78" s="71">
        <f>Handling_Const_EF_TSP_SG*('Regional data'!$U32/2.2)^1.3/(Moisture_SG*100/2)^1.4</f>
        <v>0</v>
      </c>
      <c r="M78" s="71">
        <f>Handling_Const_EF_PM10_SG*('Regional data'!$U32/2.2)^1.3/(Moisture_SG*100/2)^1.4</f>
        <v>0</v>
      </c>
      <c r="N78" s="73">
        <f>Handling_Const_EF_PM2.5_SG*('Regional data'!$U32/2.2)^1.3/(Moisture_SG*100/2)^1.4</f>
        <v>0</v>
      </c>
      <c r="O78" s="141">
        <f>'Regional data'!R32*Prod_RA*Size_dist_LQ_RA</f>
        <v>0</v>
      </c>
      <c r="P78" s="142">
        <f>'Regional data'!S32*Prod_RA*Size_dist_MQ_RA</f>
        <v>0</v>
      </c>
      <c r="Q78" s="142">
        <f>'Regional data'!T32*Prod_RA*Size_dist_SQ_RA</f>
        <v>0</v>
      </c>
      <c r="R78" s="71">
        <f>Handling_Const_EF_TSP_RA*('Regional data'!$U32/2.2)^1.3/(Moisture_RA*100/2)^1.4</f>
        <v>0</v>
      </c>
      <c r="S78" s="71">
        <f>Handling_Const_EF_PM10_RA*('Regional data'!$U32/2.2)^1.3/(Moisture_RA*100/2)^1.4</f>
        <v>0</v>
      </c>
      <c r="T78" s="73">
        <f>Handling_Const_EF_PM2.5_RA*('Regional data'!$U32/2.2)^1.3/(Moisture_RA*100/2)^1.4</f>
        <v>0</v>
      </c>
    </row>
    <row r="79" spans="2:20" x14ac:dyDescent="0.25">
      <c r="B79" s="69">
        <f>'Regional data'!B33</f>
        <v>0</v>
      </c>
      <c r="C79" s="141">
        <f>'Regional data'!F33*Prod_CR*Size_dist_LQ_CR</f>
        <v>0</v>
      </c>
      <c r="D79" s="142">
        <f>'Regional data'!G33*Prod_CR*Size_dist_MQ_CR</f>
        <v>0</v>
      </c>
      <c r="E79" s="142">
        <f>'Regional data'!H33*Prod_CR*Size_dist_SQ_CR</f>
        <v>0</v>
      </c>
      <c r="F79" s="71">
        <f>Handling_Const_EF_TSP_CR*('Regional data'!$U33/2.2)^1.3/(Moisture_CR*100/2)^1.4</f>
        <v>0</v>
      </c>
      <c r="G79" s="71">
        <f>Handling_Const_EF_PM10_CR*('Regional data'!$U33/2.2)^1.3/(Moisture_CR*100/2)^1.4</f>
        <v>0</v>
      </c>
      <c r="H79" s="72">
        <f>Handling_Const_EF_PM2.5_CR*('Regional data'!$U33/2.2)^1.3/(Moisture_CR*100/2)^1.4</f>
        <v>0</v>
      </c>
      <c r="I79" s="141">
        <f>'Regional data'!L33*Prod_SG*Size_dist_LQ_SG</f>
        <v>0</v>
      </c>
      <c r="J79" s="142">
        <f>'Regional data'!M33*Prod_SG*Size_dist_MQ_SG</f>
        <v>0</v>
      </c>
      <c r="K79" s="142">
        <f>'Regional data'!N33*Prod_SG*Size_dist_SQ_SG</f>
        <v>0</v>
      </c>
      <c r="L79" s="71">
        <f>Handling_Const_EF_TSP_SG*('Regional data'!$U33/2.2)^1.3/(Moisture_SG*100/2)^1.4</f>
        <v>0</v>
      </c>
      <c r="M79" s="71">
        <f>Handling_Const_EF_PM10_SG*('Regional data'!$U33/2.2)^1.3/(Moisture_SG*100/2)^1.4</f>
        <v>0</v>
      </c>
      <c r="N79" s="73">
        <f>Handling_Const_EF_PM2.5_SG*('Regional data'!$U33/2.2)^1.3/(Moisture_SG*100/2)^1.4</f>
        <v>0</v>
      </c>
      <c r="O79" s="141">
        <f>'Regional data'!R33*Prod_RA*Size_dist_LQ_RA</f>
        <v>0</v>
      </c>
      <c r="P79" s="142">
        <f>'Regional data'!S33*Prod_RA*Size_dist_MQ_RA</f>
        <v>0</v>
      </c>
      <c r="Q79" s="142">
        <f>'Regional data'!T33*Prod_RA*Size_dist_SQ_RA</f>
        <v>0</v>
      </c>
      <c r="R79" s="71">
        <f>Handling_Const_EF_TSP_RA*('Regional data'!$U33/2.2)^1.3/(Moisture_RA*100/2)^1.4</f>
        <v>0</v>
      </c>
      <c r="S79" s="71">
        <f>Handling_Const_EF_PM10_RA*('Regional data'!$U33/2.2)^1.3/(Moisture_RA*100/2)^1.4</f>
        <v>0</v>
      </c>
      <c r="T79" s="73">
        <f>Handling_Const_EF_PM2.5_RA*('Regional data'!$U33/2.2)^1.3/(Moisture_RA*100/2)^1.4</f>
        <v>0</v>
      </c>
    </row>
    <row r="80" spans="2:20" x14ac:dyDescent="0.25">
      <c r="B80" s="69">
        <f>'Regional data'!B34</f>
        <v>0</v>
      </c>
      <c r="C80" s="141">
        <f>'Regional data'!F34*Prod_CR*Size_dist_LQ_CR</f>
        <v>0</v>
      </c>
      <c r="D80" s="142">
        <f>'Regional data'!G34*Prod_CR*Size_dist_MQ_CR</f>
        <v>0</v>
      </c>
      <c r="E80" s="142">
        <f>'Regional data'!H34*Prod_CR*Size_dist_SQ_CR</f>
        <v>0</v>
      </c>
      <c r="F80" s="71">
        <f>Handling_Const_EF_TSP_CR*('Regional data'!$U34/2.2)^1.3/(Moisture_CR*100/2)^1.4</f>
        <v>0</v>
      </c>
      <c r="G80" s="71">
        <f>Handling_Const_EF_PM10_CR*('Regional data'!$U34/2.2)^1.3/(Moisture_CR*100/2)^1.4</f>
        <v>0</v>
      </c>
      <c r="H80" s="72">
        <f>Handling_Const_EF_PM2.5_CR*('Regional data'!$U34/2.2)^1.3/(Moisture_CR*100/2)^1.4</f>
        <v>0</v>
      </c>
      <c r="I80" s="141">
        <f>'Regional data'!L34*Prod_SG*Size_dist_LQ_SG</f>
        <v>0</v>
      </c>
      <c r="J80" s="142">
        <f>'Regional data'!M34*Prod_SG*Size_dist_MQ_SG</f>
        <v>0</v>
      </c>
      <c r="K80" s="142">
        <f>'Regional data'!N34*Prod_SG*Size_dist_SQ_SG</f>
        <v>0</v>
      </c>
      <c r="L80" s="71">
        <f>Handling_Const_EF_TSP_SG*('Regional data'!$U34/2.2)^1.3/(Moisture_SG*100/2)^1.4</f>
        <v>0</v>
      </c>
      <c r="M80" s="71">
        <f>Handling_Const_EF_PM10_SG*('Regional data'!$U34/2.2)^1.3/(Moisture_SG*100/2)^1.4</f>
        <v>0</v>
      </c>
      <c r="N80" s="73">
        <f>Handling_Const_EF_PM2.5_SG*('Regional data'!$U34/2.2)^1.3/(Moisture_SG*100/2)^1.4</f>
        <v>0</v>
      </c>
      <c r="O80" s="141">
        <f>'Regional data'!R34*Prod_RA*Size_dist_LQ_RA</f>
        <v>0</v>
      </c>
      <c r="P80" s="142">
        <f>'Regional data'!S34*Prod_RA*Size_dist_MQ_RA</f>
        <v>0</v>
      </c>
      <c r="Q80" s="142">
        <f>'Regional data'!T34*Prod_RA*Size_dist_SQ_RA</f>
        <v>0</v>
      </c>
      <c r="R80" s="71">
        <f>Handling_Const_EF_TSP_RA*('Regional data'!$U34/2.2)^1.3/(Moisture_RA*100/2)^1.4</f>
        <v>0</v>
      </c>
      <c r="S80" s="71">
        <f>Handling_Const_EF_PM10_RA*('Regional data'!$U34/2.2)^1.3/(Moisture_RA*100/2)^1.4</f>
        <v>0</v>
      </c>
      <c r="T80" s="73">
        <f>Handling_Const_EF_PM2.5_RA*('Regional data'!$U34/2.2)^1.3/(Moisture_RA*100/2)^1.4</f>
        <v>0</v>
      </c>
    </row>
    <row r="81" spans="2:20" x14ac:dyDescent="0.25">
      <c r="B81" s="69">
        <f>'Regional data'!B35</f>
        <v>0</v>
      </c>
      <c r="C81" s="141">
        <f>'Regional data'!F35*Prod_CR*Size_dist_LQ_CR</f>
        <v>0</v>
      </c>
      <c r="D81" s="142">
        <f>'Regional data'!G35*Prod_CR*Size_dist_MQ_CR</f>
        <v>0</v>
      </c>
      <c r="E81" s="142">
        <f>'Regional data'!H35*Prod_CR*Size_dist_SQ_CR</f>
        <v>0</v>
      </c>
      <c r="F81" s="71">
        <f>Handling_Const_EF_TSP_CR*('Regional data'!$U35/2.2)^1.3/(Moisture_CR*100/2)^1.4</f>
        <v>0</v>
      </c>
      <c r="G81" s="71">
        <f>Handling_Const_EF_PM10_CR*('Regional data'!$U35/2.2)^1.3/(Moisture_CR*100/2)^1.4</f>
        <v>0</v>
      </c>
      <c r="H81" s="72">
        <f>Handling_Const_EF_PM2.5_CR*('Regional data'!$U35/2.2)^1.3/(Moisture_CR*100/2)^1.4</f>
        <v>0</v>
      </c>
      <c r="I81" s="141">
        <f>'Regional data'!L35*Prod_SG*Size_dist_LQ_SG</f>
        <v>0</v>
      </c>
      <c r="J81" s="142">
        <f>'Regional data'!M35*Prod_SG*Size_dist_MQ_SG</f>
        <v>0</v>
      </c>
      <c r="K81" s="142">
        <f>'Regional data'!N35*Prod_SG*Size_dist_SQ_SG</f>
        <v>0</v>
      </c>
      <c r="L81" s="71">
        <f>Handling_Const_EF_TSP_SG*('Regional data'!$U35/2.2)^1.3/(Moisture_SG*100/2)^1.4</f>
        <v>0</v>
      </c>
      <c r="M81" s="71">
        <f>Handling_Const_EF_PM10_SG*('Regional data'!$U35/2.2)^1.3/(Moisture_SG*100/2)^1.4</f>
        <v>0</v>
      </c>
      <c r="N81" s="73">
        <f>Handling_Const_EF_PM2.5_SG*('Regional data'!$U35/2.2)^1.3/(Moisture_SG*100/2)^1.4</f>
        <v>0</v>
      </c>
      <c r="O81" s="141">
        <f>'Regional data'!R35*Prod_RA*Size_dist_LQ_RA</f>
        <v>0</v>
      </c>
      <c r="P81" s="142">
        <f>'Regional data'!S35*Prod_RA*Size_dist_MQ_RA</f>
        <v>0</v>
      </c>
      <c r="Q81" s="142">
        <f>'Regional data'!T35*Prod_RA*Size_dist_SQ_RA</f>
        <v>0</v>
      </c>
      <c r="R81" s="71">
        <f>Handling_Const_EF_TSP_RA*('Regional data'!$U35/2.2)^1.3/(Moisture_RA*100/2)^1.4</f>
        <v>0</v>
      </c>
      <c r="S81" s="71">
        <f>Handling_Const_EF_PM10_RA*('Regional data'!$U35/2.2)^1.3/(Moisture_RA*100/2)^1.4</f>
        <v>0</v>
      </c>
      <c r="T81" s="73">
        <f>Handling_Const_EF_PM2.5_RA*('Regional data'!$U35/2.2)^1.3/(Moisture_RA*100/2)^1.4</f>
        <v>0</v>
      </c>
    </row>
    <row r="82" spans="2:20" x14ac:dyDescent="0.25">
      <c r="B82" s="69">
        <f>'Regional data'!B36</f>
        <v>0</v>
      </c>
      <c r="C82" s="141">
        <f>'Regional data'!F36*Prod_CR*Size_dist_LQ_CR</f>
        <v>0</v>
      </c>
      <c r="D82" s="142">
        <f>'Regional data'!G36*Prod_CR*Size_dist_MQ_CR</f>
        <v>0</v>
      </c>
      <c r="E82" s="142">
        <f>'Regional data'!H36*Prod_CR*Size_dist_SQ_CR</f>
        <v>0</v>
      </c>
      <c r="F82" s="71">
        <f>Handling_Const_EF_TSP_CR*('Regional data'!$U36/2.2)^1.3/(Moisture_CR*100/2)^1.4</f>
        <v>0</v>
      </c>
      <c r="G82" s="71">
        <f>Handling_Const_EF_PM10_CR*('Regional data'!$U36/2.2)^1.3/(Moisture_CR*100/2)^1.4</f>
        <v>0</v>
      </c>
      <c r="H82" s="72">
        <f>Handling_Const_EF_PM2.5_CR*('Regional data'!$U36/2.2)^1.3/(Moisture_CR*100/2)^1.4</f>
        <v>0</v>
      </c>
      <c r="I82" s="141">
        <f>'Regional data'!L36*Prod_SG*Size_dist_LQ_SG</f>
        <v>0</v>
      </c>
      <c r="J82" s="142">
        <f>'Regional data'!M36*Prod_SG*Size_dist_MQ_SG</f>
        <v>0</v>
      </c>
      <c r="K82" s="142">
        <f>'Regional data'!N36*Prod_SG*Size_dist_SQ_SG</f>
        <v>0</v>
      </c>
      <c r="L82" s="71">
        <f>Handling_Const_EF_TSP_SG*('Regional data'!$U36/2.2)^1.3/(Moisture_SG*100/2)^1.4</f>
        <v>0</v>
      </c>
      <c r="M82" s="71">
        <f>Handling_Const_EF_PM10_SG*('Regional data'!$U36/2.2)^1.3/(Moisture_SG*100/2)^1.4</f>
        <v>0</v>
      </c>
      <c r="N82" s="73">
        <f>Handling_Const_EF_PM2.5_SG*('Regional data'!$U36/2.2)^1.3/(Moisture_SG*100/2)^1.4</f>
        <v>0</v>
      </c>
      <c r="O82" s="141">
        <f>'Regional data'!R36*Prod_RA*Size_dist_LQ_RA</f>
        <v>0</v>
      </c>
      <c r="P82" s="142">
        <f>'Regional data'!S36*Prod_RA*Size_dist_MQ_RA</f>
        <v>0</v>
      </c>
      <c r="Q82" s="142">
        <f>'Regional data'!T36*Prod_RA*Size_dist_SQ_RA</f>
        <v>0</v>
      </c>
      <c r="R82" s="71">
        <f>Handling_Const_EF_TSP_RA*('Regional data'!$U36/2.2)^1.3/(Moisture_RA*100/2)^1.4</f>
        <v>0</v>
      </c>
      <c r="S82" s="71">
        <f>Handling_Const_EF_PM10_RA*('Regional data'!$U36/2.2)^1.3/(Moisture_RA*100/2)^1.4</f>
        <v>0</v>
      </c>
      <c r="T82" s="73">
        <f>Handling_Const_EF_PM2.5_RA*('Regional data'!$U36/2.2)^1.3/(Moisture_RA*100/2)^1.4</f>
        <v>0</v>
      </c>
    </row>
    <row r="83" spans="2:20" x14ac:dyDescent="0.25">
      <c r="B83" s="69">
        <f>'Regional data'!B37</f>
        <v>0</v>
      </c>
      <c r="C83" s="141">
        <f>'Regional data'!F37*Prod_CR*Size_dist_LQ_CR</f>
        <v>0</v>
      </c>
      <c r="D83" s="142">
        <f>'Regional data'!G37*Prod_CR*Size_dist_MQ_CR</f>
        <v>0</v>
      </c>
      <c r="E83" s="142">
        <f>'Regional data'!H37*Prod_CR*Size_dist_SQ_CR</f>
        <v>0</v>
      </c>
      <c r="F83" s="71">
        <f>Handling_Const_EF_TSP_CR*('Regional data'!$U37/2.2)^1.3/(Moisture_CR*100/2)^1.4</f>
        <v>0</v>
      </c>
      <c r="G83" s="71">
        <f>Handling_Const_EF_PM10_CR*('Regional data'!$U37/2.2)^1.3/(Moisture_CR*100/2)^1.4</f>
        <v>0</v>
      </c>
      <c r="H83" s="72">
        <f>Handling_Const_EF_PM2.5_CR*('Regional data'!$U37/2.2)^1.3/(Moisture_CR*100/2)^1.4</f>
        <v>0</v>
      </c>
      <c r="I83" s="141">
        <f>'Regional data'!L37*Prod_SG*Size_dist_LQ_SG</f>
        <v>0</v>
      </c>
      <c r="J83" s="142">
        <f>'Regional data'!M37*Prod_SG*Size_dist_MQ_SG</f>
        <v>0</v>
      </c>
      <c r="K83" s="142">
        <f>'Regional data'!N37*Prod_SG*Size_dist_SQ_SG</f>
        <v>0</v>
      </c>
      <c r="L83" s="71">
        <f>Handling_Const_EF_TSP_SG*('Regional data'!$U37/2.2)^1.3/(Moisture_SG*100/2)^1.4</f>
        <v>0</v>
      </c>
      <c r="M83" s="71">
        <f>Handling_Const_EF_PM10_SG*('Regional data'!$U37/2.2)^1.3/(Moisture_SG*100/2)^1.4</f>
        <v>0</v>
      </c>
      <c r="N83" s="73">
        <f>Handling_Const_EF_PM2.5_SG*('Regional data'!$U37/2.2)^1.3/(Moisture_SG*100/2)^1.4</f>
        <v>0</v>
      </c>
      <c r="O83" s="141">
        <f>'Regional data'!R37*Prod_RA*Size_dist_LQ_RA</f>
        <v>0</v>
      </c>
      <c r="P83" s="142">
        <f>'Regional data'!S37*Prod_RA*Size_dist_MQ_RA</f>
        <v>0</v>
      </c>
      <c r="Q83" s="142">
        <f>'Regional data'!T37*Prod_RA*Size_dist_SQ_RA</f>
        <v>0</v>
      </c>
      <c r="R83" s="71">
        <f>Handling_Const_EF_TSP_RA*('Regional data'!$U37/2.2)^1.3/(Moisture_RA*100/2)^1.4</f>
        <v>0</v>
      </c>
      <c r="S83" s="71">
        <f>Handling_Const_EF_PM10_RA*('Regional data'!$U37/2.2)^1.3/(Moisture_RA*100/2)^1.4</f>
        <v>0</v>
      </c>
      <c r="T83" s="73">
        <f>Handling_Const_EF_PM2.5_RA*('Regional data'!$U37/2.2)^1.3/(Moisture_RA*100/2)^1.4</f>
        <v>0</v>
      </c>
    </row>
    <row r="84" spans="2:20" x14ac:dyDescent="0.25">
      <c r="B84" s="69">
        <f>'Regional data'!B38</f>
        <v>0</v>
      </c>
      <c r="C84" s="141">
        <f>'Regional data'!F38*Prod_CR*Size_dist_LQ_CR</f>
        <v>0</v>
      </c>
      <c r="D84" s="142">
        <f>'Regional data'!G38*Prod_CR*Size_dist_MQ_CR</f>
        <v>0</v>
      </c>
      <c r="E84" s="142">
        <f>'Regional data'!H38*Prod_CR*Size_dist_SQ_CR</f>
        <v>0</v>
      </c>
      <c r="F84" s="71">
        <f>Handling_Const_EF_TSP_CR*('Regional data'!$U38/2.2)^1.3/(Moisture_CR*100/2)^1.4</f>
        <v>0</v>
      </c>
      <c r="G84" s="71">
        <f>Handling_Const_EF_PM10_CR*('Regional data'!$U38/2.2)^1.3/(Moisture_CR*100/2)^1.4</f>
        <v>0</v>
      </c>
      <c r="H84" s="72">
        <f>Handling_Const_EF_PM2.5_CR*('Regional data'!$U38/2.2)^1.3/(Moisture_CR*100/2)^1.4</f>
        <v>0</v>
      </c>
      <c r="I84" s="141">
        <f>'Regional data'!L38*Prod_SG*Size_dist_LQ_SG</f>
        <v>0</v>
      </c>
      <c r="J84" s="142">
        <f>'Regional data'!M38*Prod_SG*Size_dist_MQ_SG</f>
        <v>0</v>
      </c>
      <c r="K84" s="142">
        <f>'Regional data'!N38*Prod_SG*Size_dist_SQ_SG</f>
        <v>0</v>
      </c>
      <c r="L84" s="71">
        <f>Handling_Const_EF_TSP_SG*('Regional data'!$U38/2.2)^1.3/(Moisture_SG*100/2)^1.4</f>
        <v>0</v>
      </c>
      <c r="M84" s="71">
        <f>Handling_Const_EF_PM10_SG*('Regional data'!$U38/2.2)^1.3/(Moisture_SG*100/2)^1.4</f>
        <v>0</v>
      </c>
      <c r="N84" s="73">
        <f>Handling_Const_EF_PM2.5_SG*('Regional data'!$U38/2.2)^1.3/(Moisture_SG*100/2)^1.4</f>
        <v>0</v>
      </c>
      <c r="O84" s="141">
        <f>'Regional data'!R38*Prod_RA*Size_dist_LQ_RA</f>
        <v>0</v>
      </c>
      <c r="P84" s="142">
        <f>'Regional data'!S38*Prod_RA*Size_dist_MQ_RA</f>
        <v>0</v>
      </c>
      <c r="Q84" s="142">
        <f>'Regional data'!T38*Prod_RA*Size_dist_SQ_RA</f>
        <v>0</v>
      </c>
      <c r="R84" s="71">
        <f>Handling_Const_EF_TSP_RA*('Regional data'!$U38/2.2)^1.3/(Moisture_RA*100/2)^1.4</f>
        <v>0</v>
      </c>
      <c r="S84" s="71">
        <f>Handling_Const_EF_PM10_RA*('Regional data'!$U38/2.2)^1.3/(Moisture_RA*100/2)^1.4</f>
        <v>0</v>
      </c>
      <c r="T84" s="73">
        <f>Handling_Const_EF_PM2.5_RA*('Regional data'!$U38/2.2)^1.3/(Moisture_RA*100/2)^1.4</f>
        <v>0</v>
      </c>
    </row>
    <row r="85" spans="2:20" x14ac:dyDescent="0.25">
      <c r="B85" s="69">
        <f>'Regional data'!B39</f>
        <v>0</v>
      </c>
      <c r="C85" s="141">
        <f>'Regional data'!F39*Prod_CR*Size_dist_LQ_CR</f>
        <v>0</v>
      </c>
      <c r="D85" s="142">
        <f>'Regional data'!G39*Prod_CR*Size_dist_MQ_CR</f>
        <v>0</v>
      </c>
      <c r="E85" s="142">
        <f>'Regional data'!H39*Prod_CR*Size_dist_SQ_CR</f>
        <v>0</v>
      </c>
      <c r="F85" s="71">
        <f>Handling_Const_EF_TSP_CR*('Regional data'!$U39/2.2)^1.3/(Moisture_CR*100/2)^1.4</f>
        <v>0</v>
      </c>
      <c r="G85" s="71">
        <f>Handling_Const_EF_PM10_CR*('Regional data'!$U39/2.2)^1.3/(Moisture_CR*100/2)^1.4</f>
        <v>0</v>
      </c>
      <c r="H85" s="72">
        <f>Handling_Const_EF_PM2.5_CR*('Regional data'!$U39/2.2)^1.3/(Moisture_CR*100/2)^1.4</f>
        <v>0</v>
      </c>
      <c r="I85" s="141">
        <f>'Regional data'!L39*Prod_SG*Size_dist_LQ_SG</f>
        <v>0</v>
      </c>
      <c r="J85" s="142">
        <f>'Regional data'!M39*Prod_SG*Size_dist_MQ_SG</f>
        <v>0</v>
      </c>
      <c r="K85" s="142">
        <f>'Regional data'!N39*Prod_SG*Size_dist_SQ_SG</f>
        <v>0</v>
      </c>
      <c r="L85" s="71">
        <f>Handling_Const_EF_TSP_SG*('Regional data'!$U39/2.2)^1.3/(Moisture_SG*100/2)^1.4</f>
        <v>0</v>
      </c>
      <c r="M85" s="71">
        <f>Handling_Const_EF_PM10_SG*('Regional data'!$U39/2.2)^1.3/(Moisture_SG*100/2)^1.4</f>
        <v>0</v>
      </c>
      <c r="N85" s="73">
        <f>Handling_Const_EF_PM2.5_SG*('Regional data'!$U39/2.2)^1.3/(Moisture_SG*100/2)^1.4</f>
        <v>0</v>
      </c>
      <c r="O85" s="141">
        <f>'Regional data'!R39*Prod_RA*Size_dist_LQ_RA</f>
        <v>0</v>
      </c>
      <c r="P85" s="142">
        <f>'Regional data'!S39*Prod_RA*Size_dist_MQ_RA</f>
        <v>0</v>
      </c>
      <c r="Q85" s="142">
        <f>'Regional data'!T39*Prod_RA*Size_dist_SQ_RA</f>
        <v>0</v>
      </c>
      <c r="R85" s="71">
        <f>Handling_Const_EF_TSP_RA*('Regional data'!$U39/2.2)^1.3/(Moisture_RA*100/2)^1.4</f>
        <v>0</v>
      </c>
      <c r="S85" s="71">
        <f>Handling_Const_EF_PM10_RA*('Regional data'!$U39/2.2)^1.3/(Moisture_RA*100/2)^1.4</f>
        <v>0</v>
      </c>
      <c r="T85" s="73">
        <f>Handling_Const_EF_PM2.5_RA*('Regional data'!$U39/2.2)^1.3/(Moisture_RA*100/2)^1.4</f>
        <v>0</v>
      </c>
    </row>
    <row r="86" spans="2:20" x14ac:dyDescent="0.25">
      <c r="B86" s="69">
        <f>'Regional data'!B40</f>
        <v>0</v>
      </c>
      <c r="C86" s="141">
        <f>'Regional data'!F40*Prod_CR*Size_dist_LQ_CR</f>
        <v>0</v>
      </c>
      <c r="D86" s="142">
        <f>'Regional data'!G40*Prod_CR*Size_dist_MQ_CR</f>
        <v>0</v>
      </c>
      <c r="E86" s="142">
        <f>'Regional data'!H40*Prod_CR*Size_dist_SQ_CR</f>
        <v>0</v>
      </c>
      <c r="F86" s="71">
        <f>Handling_Const_EF_TSP_CR*('Regional data'!$U40/2.2)^1.3/(Moisture_CR*100/2)^1.4</f>
        <v>0</v>
      </c>
      <c r="G86" s="71">
        <f>Handling_Const_EF_PM10_CR*('Regional data'!$U40/2.2)^1.3/(Moisture_CR*100/2)^1.4</f>
        <v>0</v>
      </c>
      <c r="H86" s="72">
        <f>Handling_Const_EF_PM2.5_CR*('Regional data'!$U40/2.2)^1.3/(Moisture_CR*100/2)^1.4</f>
        <v>0</v>
      </c>
      <c r="I86" s="141">
        <f>'Regional data'!L40*Prod_SG*Size_dist_LQ_SG</f>
        <v>0</v>
      </c>
      <c r="J86" s="142">
        <f>'Regional data'!M40*Prod_SG*Size_dist_MQ_SG</f>
        <v>0</v>
      </c>
      <c r="K86" s="142">
        <f>'Regional data'!N40*Prod_SG*Size_dist_SQ_SG</f>
        <v>0</v>
      </c>
      <c r="L86" s="71">
        <f>Handling_Const_EF_TSP_SG*('Regional data'!$U40/2.2)^1.3/(Moisture_SG*100/2)^1.4</f>
        <v>0</v>
      </c>
      <c r="M86" s="71">
        <f>Handling_Const_EF_PM10_SG*('Regional data'!$U40/2.2)^1.3/(Moisture_SG*100/2)^1.4</f>
        <v>0</v>
      </c>
      <c r="N86" s="73">
        <f>Handling_Const_EF_PM2.5_SG*('Regional data'!$U40/2.2)^1.3/(Moisture_SG*100/2)^1.4</f>
        <v>0</v>
      </c>
      <c r="O86" s="141">
        <f>'Regional data'!R40*Prod_RA*Size_dist_LQ_RA</f>
        <v>0</v>
      </c>
      <c r="P86" s="142">
        <f>'Regional data'!S40*Prod_RA*Size_dist_MQ_RA</f>
        <v>0</v>
      </c>
      <c r="Q86" s="142">
        <f>'Regional data'!T40*Prod_RA*Size_dist_SQ_RA</f>
        <v>0</v>
      </c>
      <c r="R86" s="71">
        <f>Handling_Const_EF_TSP_RA*('Regional data'!$U40/2.2)^1.3/(Moisture_RA*100/2)^1.4</f>
        <v>0</v>
      </c>
      <c r="S86" s="71">
        <f>Handling_Const_EF_PM10_RA*('Regional data'!$U40/2.2)^1.3/(Moisture_RA*100/2)^1.4</f>
        <v>0</v>
      </c>
      <c r="T86" s="73">
        <f>Handling_Const_EF_PM2.5_RA*('Regional data'!$U40/2.2)^1.3/(Moisture_RA*100/2)^1.4</f>
        <v>0</v>
      </c>
    </row>
    <row r="87" spans="2:20" x14ac:dyDescent="0.25">
      <c r="B87" s="69">
        <f>'Regional data'!B41</f>
        <v>0</v>
      </c>
      <c r="C87" s="141">
        <f>'Regional data'!F41*Prod_CR*Size_dist_LQ_CR</f>
        <v>0</v>
      </c>
      <c r="D87" s="142">
        <f>'Regional data'!G41*Prod_CR*Size_dist_MQ_CR</f>
        <v>0</v>
      </c>
      <c r="E87" s="142">
        <f>'Regional data'!H41*Prod_CR*Size_dist_SQ_CR</f>
        <v>0</v>
      </c>
      <c r="F87" s="71">
        <f>Handling_Const_EF_TSP_CR*('Regional data'!$U41/2.2)^1.3/(Moisture_CR*100/2)^1.4</f>
        <v>0</v>
      </c>
      <c r="G87" s="71">
        <f>Handling_Const_EF_PM10_CR*('Regional data'!$U41/2.2)^1.3/(Moisture_CR*100/2)^1.4</f>
        <v>0</v>
      </c>
      <c r="H87" s="72">
        <f>Handling_Const_EF_PM2.5_CR*('Regional data'!$U41/2.2)^1.3/(Moisture_CR*100/2)^1.4</f>
        <v>0</v>
      </c>
      <c r="I87" s="141">
        <f>'Regional data'!L41*Prod_SG*Size_dist_LQ_SG</f>
        <v>0</v>
      </c>
      <c r="J87" s="142">
        <f>'Regional data'!M41*Prod_SG*Size_dist_MQ_SG</f>
        <v>0</v>
      </c>
      <c r="K87" s="142">
        <f>'Regional data'!N41*Prod_SG*Size_dist_SQ_SG</f>
        <v>0</v>
      </c>
      <c r="L87" s="71">
        <f>Handling_Const_EF_TSP_SG*('Regional data'!$U41/2.2)^1.3/(Moisture_SG*100/2)^1.4</f>
        <v>0</v>
      </c>
      <c r="M87" s="71">
        <f>Handling_Const_EF_PM10_SG*('Regional data'!$U41/2.2)^1.3/(Moisture_SG*100/2)^1.4</f>
        <v>0</v>
      </c>
      <c r="N87" s="73">
        <f>Handling_Const_EF_PM2.5_SG*('Regional data'!$U41/2.2)^1.3/(Moisture_SG*100/2)^1.4</f>
        <v>0</v>
      </c>
      <c r="O87" s="141">
        <f>'Regional data'!R41*Prod_RA*Size_dist_LQ_RA</f>
        <v>0</v>
      </c>
      <c r="P87" s="142">
        <f>'Regional data'!S41*Prod_RA*Size_dist_MQ_RA</f>
        <v>0</v>
      </c>
      <c r="Q87" s="142">
        <f>'Regional data'!T41*Prod_RA*Size_dist_SQ_RA</f>
        <v>0</v>
      </c>
      <c r="R87" s="71">
        <f>Handling_Const_EF_TSP_RA*('Regional data'!$U41/2.2)^1.3/(Moisture_RA*100/2)^1.4</f>
        <v>0</v>
      </c>
      <c r="S87" s="71">
        <f>Handling_Const_EF_PM10_RA*('Regional data'!$U41/2.2)^1.3/(Moisture_RA*100/2)^1.4</f>
        <v>0</v>
      </c>
      <c r="T87" s="73">
        <f>Handling_Const_EF_PM2.5_RA*('Regional data'!$U41/2.2)^1.3/(Moisture_RA*100/2)^1.4</f>
        <v>0</v>
      </c>
    </row>
    <row r="88" spans="2:20" x14ac:dyDescent="0.25">
      <c r="B88" s="69">
        <f>'Regional data'!B42</f>
        <v>0</v>
      </c>
      <c r="C88" s="141">
        <f>'Regional data'!F42*Prod_CR*Size_dist_LQ_CR</f>
        <v>0</v>
      </c>
      <c r="D88" s="142">
        <f>'Regional data'!G42*Prod_CR*Size_dist_MQ_CR</f>
        <v>0</v>
      </c>
      <c r="E88" s="142">
        <f>'Regional data'!H42*Prod_CR*Size_dist_SQ_CR</f>
        <v>0</v>
      </c>
      <c r="F88" s="71">
        <f>Handling_Const_EF_TSP_CR*('Regional data'!$U42/2.2)^1.3/(Moisture_CR*100/2)^1.4</f>
        <v>0</v>
      </c>
      <c r="G88" s="71">
        <f>Handling_Const_EF_PM10_CR*('Regional data'!$U42/2.2)^1.3/(Moisture_CR*100/2)^1.4</f>
        <v>0</v>
      </c>
      <c r="H88" s="72">
        <f>Handling_Const_EF_PM2.5_CR*('Regional data'!$U42/2.2)^1.3/(Moisture_CR*100/2)^1.4</f>
        <v>0</v>
      </c>
      <c r="I88" s="141">
        <f>'Regional data'!L42*Prod_SG*Size_dist_LQ_SG</f>
        <v>0</v>
      </c>
      <c r="J88" s="142">
        <f>'Regional data'!M42*Prod_SG*Size_dist_MQ_SG</f>
        <v>0</v>
      </c>
      <c r="K88" s="142">
        <f>'Regional data'!N42*Prod_SG*Size_dist_SQ_SG</f>
        <v>0</v>
      </c>
      <c r="L88" s="71">
        <f>Handling_Const_EF_TSP_SG*('Regional data'!$U42/2.2)^1.3/(Moisture_SG*100/2)^1.4</f>
        <v>0</v>
      </c>
      <c r="M88" s="71">
        <f>Handling_Const_EF_PM10_SG*('Regional data'!$U42/2.2)^1.3/(Moisture_SG*100/2)^1.4</f>
        <v>0</v>
      </c>
      <c r="N88" s="73">
        <f>Handling_Const_EF_PM2.5_SG*('Regional data'!$U42/2.2)^1.3/(Moisture_SG*100/2)^1.4</f>
        <v>0</v>
      </c>
      <c r="O88" s="141">
        <f>'Regional data'!R42*Prod_RA*Size_dist_LQ_RA</f>
        <v>0</v>
      </c>
      <c r="P88" s="142">
        <f>'Regional data'!S42*Prod_RA*Size_dist_MQ_RA</f>
        <v>0</v>
      </c>
      <c r="Q88" s="142">
        <f>'Regional data'!T42*Prod_RA*Size_dist_SQ_RA</f>
        <v>0</v>
      </c>
      <c r="R88" s="71">
        <f>Handling_Const_EF_TSP_RA*('Regional data'!$U42/2.2)^1.3/(Moisture_RA*100/2)^1.4</f>
        <v>0</v>
      </c>
      <c r="S88" s="71">
        <f>Handling_Const_EF_PM10_RA*('Regional data'!$U42/2.2)^1.3/(Moisture_RA*100/2)^1.4</f>
        <v>0</v>
      </c>
      <c r="T88" s="73">
        <f>Handling_Const_EF_PM2.5_RA*('Regional data'!$U42/2.2)^1.3/(Moisture_RA*100/2)^1.4</f>
        <v>0</v>
      </c>
    </row>
    <row r="89" spans="2:20" x14ac:dyDescent="0.25">
      <c r="B89" s="69">
        <f>'Regional data'!B43</f>
        <v>0</v>
      </c>
      <c r="C89" s="141">
        <f>'Regional data'!F43*Prod_CR*Size_dist_LQ_CR</f>
        <v>0</v>
      </c>
      <c r="D89" s="142">
        <f>'Regional data'!G43*Prod_CR*Size_dist_MQ_CR</f>
        <v>0</v>
      </c>
      <c r="E89" s="142">
        <f>'Regional data'!H43*Prod_CR*Size_dist_SQ_CR</f>
        <v>0</v>
      </c>
      <c r="F89" s="71">
        <f>Handling_Const_EF_TSP_CR*('Regional data'!$U43/2.2)^1.3/(Moisture_CR*100/2)^1.4</f>
        <v>0</v>
      </c>
      <c r="G89" s="71">
        <f>Handling_Const_EF_PM10_CR*('Regional data'!$U43/2.2)^1.3/(Moisture_CR*100/2)^1.4</f>
        <v>0</v>
      </c>
      <c r="H89" s="72">
        <f>Handling_Const_EF_PM2.5_CR*('Regional data'!$U43/2.2)^1.3/(Moisture_CR*100/2)^1.4</f>
        <v>0</v>
      </c>
      <c r="I89" s="141">
        <f>'Regional data'!L43*Prod_SG*Size_dist_LQ_SG</f>
        <v>0</v>
      </c>
      <c r="J89" s="142">
        <f>'Regional data'!M43*Prod_SG*Size_dist_MQ_SG</f>
        <v>0</v>
      </c>
      <c r="K89" s="142">
        <f>'Regional data'!N43*Prod_SG*Size_dist_SQ_SG</f>
        <v>0</v>
      </c>
      <c r="L89" s="71">
        <f>Handling_Const_EF_TSP_SG*('Regional data'!$U43/2.2)^1.3/(Moisture_SG*100/2)^1.4</f>
        <v>0</v>
      </c>
      <c r="M89" s="71">
        <f>Handling_Const_EF_PM10_SG*('Regional data'!$U43/2.2)^1.3/(Moisture_SG*100/2)^1.4</f>
        <v>0</v>
      </c>
      <c r="N89" s="73">
        <f>Handling_Const_EF_PM2.5_SG*('Regional data'!$U43/2.2)^1.3/(Moisture_SG*100/2)^1.4</f>
        <v>0</v>
      </c>
      <c r="O89" s="141">
        <f>'Regional data'!R43*Prod_RA*Size_dist_LQ_RA</f>
        <v>0</v>
      </c>
      <c r="P89" s="142">
        <f>'Regional data'!S43*Prod_RA*Size_dist_MQ_RA</f>
        <v>0</v>
      </c>
      <c r="Q89" s="142">
        <f>'Regional data'!T43*Prod_RA*Size_dist_SQ_RA</f>
        <v>0</v>
      </c>
      <c r="R89" s="71">
        <f>Handling_Const_EF_TSP_RA*('Regional data'!$U43/2.2)^1.3/(Moisture_RA*100/2)^1.4</f>
        <v>0</v>
      </c>
      <c r="S89" s="71">
        <f>Handling_Const_EF_PM10_RA*('Regional data'!$U43/2.2)^1.3/(Moisture_RA*100/2)^1.4</f>
        <v>0</v>
      </c>
      <c r="T89" s="73">
        <f>Handling_Const_EF_PM2.5_RA*('Regional data'!$U43/2.2)^1.3/(Moisture_RA*100/2)^1.4</f>
        <v>0</v>
      </c>
    </row>
    <row r="90" spans="2:20" x14ac:dyDescent="0.25">
      <c r="B90" s="69">
        <f>'Regional data'!B44</f>
        <v>0</v>
      </c>
      <c r="C90" s="141">
        <f>'Regional data'!F44*Prod_CR*Size_dist_LQ_CR</f>
        <v>0</v>
      </c>
      <c r="D90" s="142">
        <f>'Regional data'!G44*Prod_CR*Size_dist_MQ_CR</f>
        <v>0</v>
      </c>
      <c r="E90" s="142">
        <f>'Regional data'!H44*Prod_CR*Size_dist_SQ_CR</f>
        <v>0</v>
      </c>
      <c r="F90" s="71">
        <f>Handling_Const_EF_TSP_CR*('Regional data'!$U44/2.2)^1.3/(Moisture_CR*100/2)^1.4</f>
        <v>0</v>
      </c>
      <c r="G90" s="71">
        <f>Handling_Const_EF_PM10_CR*('Regional data'!$U44/2.2)^1.3/(Moisture_CR*100/2)^1.4</f>
        <v>0</v>
      </c>
      <c r="H90" s="72">
        <f>Handling_Const_EF_PM2.5_CR*('Regional data'!$U44/2.2)^1.3/(Moisture_CR*100/2)^1.4</f>
        <v>0</v>
      </c>
      <c r="I90" s="141">
        <f>'Regional data'!L44*Prod_SG*Size_dist_LQ_SG</f>
        <v>0</v>
      </c>
      <c r="J90" s="142">
        <f>'Regional data'!M44*Prod_SG*Size_dist_MQ_SG</f>
        <v>0</v>
      </c>
      <c r="K90" s="142">
        <f>'Regional data'!N44*Prod_SG*Size_dist_SQ_SG</f>
        <v>0</v>
      </c>
      <c r="L90" s="71">
        <f>Handling_Const_EF_TSP_SG*('Regional data'!$U44/2.2)^1.3/(Moisture_SG*100/2)^1.4</f>
        <v>0</v>
      </c>
      <c r="M90" s="71">
        <f>Handling_Const_EF_PM10_SG*('Regional data'!$U44/2.2)^1.3/(Moisture_SG*100/2)^1.4</f>
        <v>0</v>
      </c>
      <c r="N90" s="73">
        <f>Handling_Const_EF_PM2.5_SG*('Regional data'!$U44/2.2)^1.3/(Moisture_SG*100/2)^1.4</f>
        <v>0</v>
      </c>
      <c r="O90" s="141">
        <f>'Regional data'!R44*Prod_RA*Size_dist_LQ_RA</f>
        <v>0</v>
      </c>
      <c r="P90" s="142">
        <f>'Regional data'!S44*Prod_RA*Size_dist_MQ_RA</f>
        <v>0</v>
      </c>
      <c r="Q90" s="142">
        <f>'Regional data'!T44*Prod_RA*Size_dist_SQ_RA</f>
        <v>0</v>
      </c>
      <c r="R90" s="71">
        <f>Handling_Const_EF_TSP_RA*('Regional data'!$U44/2.2)^1.3/(Moisture_RA*100/2)^1.4</f>
        <v>0</v>
      </c>
      <c r="S90" s="71">
        <f>Handling_Const_EF_PM10_RA*('Regional data'!$U44/2.2)^1.3/(Moisture_RA*100/2)^1.4</f>
        <v>0</v>
      </c>
      <c r="T90" s="73">
        <f>Handling_Const_EF_PM2.5_RA*('Regional data'!$U44/2.2)^1.3/(Moisture_RA*100/2)^1.4</f>
        <v>0</v>
      </c>
    </row>
    <row r="91" spans="2:20" x14ac:dyDescent="0.25">
      <c r="B91" s="69">
        <f>'Regional data'!B45</f>
        <v>0</v>
      </c>
      <c r="C91" s="141">
        <f>'Regional data'!F45*Prod_CR*Size_dist_LQ_CR</f>
        <v>0</v>
      </c>
      <c r="D91" s="142">
        <f>'Regional data'!G45*Prod_CR*Size_dist_MQ_CR</f>
        <v>0</v>
      </c>
      <c r="E91" s="142">
        <f>'Regional data'!H45*Prod_CR*Size_dist_SQ_CR</f>
        <v>0</v>
      </c>
      <c r="F91" s="71">
        <f>Handling_Const_EF_TSP_CR*('Regional data'!$U45/2.2)^1.3/(Moisture_CR*100/2)^1.4</f>
        <v>0</v>
      </c>
      <c r="G91" s="71">
        <f>Handling_Const_EF_PM10_CR*('Regional data'!$U45/2.2)^1.3/(Moisture_CR*100/2)^1.4</f>
        <v>0</v>
      </c>
      <c r="H91" s="72">
        <f>Handling_Const_EF_PM2.5_CR*('Regional data'!$U45/2.2)^1.3/(Moisture_CR*100/2)^1.4</f>
        <v>0</v>
      </c>
      <c r="I91" s="141">
        <f>'Regional data'!L45*Prod_SG*Size_dist_LQ_SG</f>
        <v>0</v>
      </c>
      <c r="J91" s="142">
        <f>'Regional data'!M45*Prod_SG*Size_dist_MQ_SG</f>
        <v>0</v>
      </c>
      <c r="K91" s="142">
        <f>'Regional data'!N45*Prod_SG*Size_dist_SQ_SG</f>
        <v>0</v>
      </c>
      <c r="L91" s="71">
        <f>Handling_Const_EF_TSP_SG*('Regional data'!$U45/2.2)^1.3/(Moisture_SG*100/2)^1.4</f>
        <v>0</v>
      </c>
      <c r="M91" s="71">
        <f>Handling_Const_EF_PM10_SG*('Regional data'!$U45/2.2)^1.3/(Moisture_SG*100/2)^1.4</f>
        <v>0</v>
      </c>
      <c r="N91" s="73">
        <f>Handling_Const_EF_PM2.5_SG*('Regional data'!$U45/2.2)^1.3/(Moisture_SG*100/2)^1.4</f>
        <v>0</v>
      </c>
      <c r="O91" s="141">
        <f>'Regional data'!R45*Prod_RA*Size_dist_LQ_RA</f>
        <v>0</v>
      </c>
      <c r="P91" s="142">
        <f>'Regional data'!S45*Prod_RA*Size_dist_MQ_RA</f>
        <v>0</v>
      </c>
      <c r="Q91" s="142">
        <f>'Regional data'!T45*Prod_RA*Size_dist_SQ_RA</f>
        <v>0</v>
      </c>
      <c r="R91" s="71">
        <f>Handling_Const_EF_TSP_RA*('Regional data'!$U45/2.2)^1.3/(Moisture_RA*100/2)^1.4</f>
        <v>0</v>
      </c>
      <c r="S91" s="71">
        <f>Handling_Const_EF_PM10_RA*('Regional data'!$U45/2.2)^1.3/(Moisture_RA*100/2)^1.4</f>
        <v>0</v>
      </c>
      <c r="T91" s="73">
        <f>Handling_Const_EF_PM2.5_RA*('Regional data'!$U45/2.2)^1.3/(Moisture_RA*100/2)^1.4</f>
        <v>0</v>
      </c>
    </row>
    <row r="92" spans="2:20" x14ac:dyDescent="0.25">
      <c r="B92" s="69">
        <f>'Regional data'!B46</f>
        <v>0</v>
      </c>
      <c r="C92" s="141">
        <f>'Regional data'!F46*Prod_CR*Size_dist_LQ_CR</f>
        <v>0</v>
      </c>
      <c r="D92" s="142">
        <f>'Regional data'!G46*Prod_CR*Size_dist_MQ_CR</f>
        <v>0</v>
      </c>
      <c r="E92" s="142">
        <f>'Regional data'!H46*Prod_CR*Size_dist_SQ_CR</f>
        <v>0</v>
      </c>
      <c r="F92" s="71">
        <f>Handling_Const_EF_TSP_CR*('Regional data'!$U46/2.2)^1.3/(Moisture_CR*100/2)^1.4</f>
        <v>0</v>
      </c>
      <c r="G92" s="71">
        <f>Handling_Const_EF_PM10_CR*('Regional data'!$U46/2.2)^1.3/(Moisture_CR*100/2)^1.4</f>
        <v>0</v>
      </c>
      <c r="H92" s="72">
        <f>Handling_Const_EF_PM2.5_CR*('Regional data'!$U46/2.2)^1.3/(Moisture_CR*100/2)^1.4</f>
        <v>0</v>
      </c>
      <c r="I92" s="141">
        <f>'Regional data'!L46*Prod_SG*Size_dist_LQ_SG</f>
        <v>0</v>
      </c>
      <c r="J92" s="142">
        <f>'Regional data'!M46*Prod_SG*Size_dist_MQ_SG</f>
        <v>0</v>
      </c>
      <c r="K92" s="142">
        <f>'Regional data'!N46*Prod_SG*Size_dist_SQ_SG</f>
        <v>0</v>
      </c>
      <c r="L92" s="71">
        <f>Handling_Const_EF_TSP_SG*('Regional data'!$U46/2.2)^1.3/(Moisture_SG*100/2)^1.4</f>
        <v>0</v>
      </c>
      <c r="M92" s="71">
        <f>Handling_Const_EF_PM10_SG*('Regional data'!$U46/2.2)^1.3/(Moisture_SG*100/2)^1.4</f>
        <v>0</v>
      </c>
      <c r="N92" s="73">
        <f>Handling_Const_EF_PM2.5_SG*('Regional data'!$U46/2.2)^1.3/(Moisture_SG*100/2)^1.4</f>
        <v>0</v>
      </c>
      <c r="O92" s="141">
        <f>'Regional data'!R46*Prod_RA*Size_dist_LQ_RA</f>
        <v>0</v>
      </c>
      <c r="P92" s="142">
        <f>'Regional data'!S46*Prod_RA*Size_dist_MQ_RA</f>
        <v>0</v>
      </c>
      <c r="Q92" s="142">
        <f>'Regional data'!T46*Prod_RA*Size_dist_SQ_RA</f>
        <v>0</v>
      </c>
      <c r="R92" s="71">
        <f>Handling_Const_EF_TSP_RA*('Regional data'!$U46/2.2)^1.3/(Moisture_RA*100/2)^1.4</f>
        <v>0</v>
      </c>
      <c r="S92" s="71">
        <f>Handling_Const_EF_PM10_RA*('Regional data'!$U46/2.2)^1.3/(Moisture_RA*100/2)^1.4</f>
        <v>0</v>
      </c>
      <c r="T92" s="73">
        <f>Handling_Const_EF_PM2.5_RA*('Regional data'!$U46/2.2)^1.3/(Moisture_RA*100/2)^1.4</f>
        <v>0</v>
      </c>
    </row>
    <row r="93" spans="2:20" x14ac:dyDescent="0.25">
      <c r="B93" s="69">
        <f>'Regional data'!B47</f>
        <v>0</v>
      </c>
      <c r="C93" s="141">
        <f>'Regional data'!F47*Prod_CR*Size_dist_LQ_CR</f>
        <v>0</v>
      </c>
      <c r="D93" s="142">
        <f>'Regional data'!G47*Prod_CR*Size_dist_MQ_CR</f>
        <v>0</v>
      </c>
      <c r="E93" s="142">
        <f>'Regional data'!H47*Prod_CR*Size_dist_SQ_CR</f>
        <v>0</v>
      </c>
      <c r="F93" s="71">
        <f>Handling_Const_EF_TSP_CR*('Regional data'!$U47/2.2)^1.3/(Moisture_CR*100/2)^1.4</f>
        <v>0</v>
      </c>
      <c r="G93" s="71">
        <f>Handling_Const_EF_PM10_CR*('Regional data'!$U47/2.2)^1.3/(Moisture_CR*100/2)^1.4</f>
        <v>0</v>
      </c>
      <c r="H93" s="72">
        <f>Handling_Const_EF_PM2.5_CR*('Regional data'!$U47/2.2)^1.3/(Moisture_CR*100/2)^1.4</f>
        <v>0</v>
      </c>
      <c r="I93" s="141">
        <f>'Regional data'!L47*Prod_SG*Size_dist_LQ_SG</f>
        <v>0</v>
      </c>
      <c r="J93" s="142">
        <f>'Regional data'!M47*Prod_SG*Size_dist_MQ_SG</f>
        <v>0</v>
      </c>
      <c r="K93" s="142">
        <f>'Regional data'!N47*Prod_SG*Size_dist_SQ_SG</f>
        <v>0</v>
      </c>
      <c r="L93" s="71">
        <f>Handling_Const_EF_TSP_SG*('Regional data'!$U47/2.2)^1.3/(Moisture_SG*100/2)^1.4</f>
        <v>0</v>
      </c>
      <c r="M93" s="71">
        <f>Handling_Const_EF_PM10_SG*('Regional data'!$U47/2.2)^1.3/(Moisture_SG*100/2)^1.4</f>
        <v>0</v>
      </c>
      <c r="N93" s="73">
        <f>Handling_Const_EF_PM2.5_SG*('Regional data'!$U47/2.2)^1.3/(Moisture_SG*100/2)^1.4</f>
        <v>0</v>
      </c>
      <c r="O93" s="141">
        <f>'Regional data'!R47*Prod_RA*Size_dist_LQ_RA</f>
        <v>0</v>
      </c>
      <c r="P93" s="142">
        <f>'Regional data'!S47*Prod_RA*Size_dist_MQ_RA</f>
        <v>0</v>
      </c>
      <c r="Q93" s="142">
        <f>'Regional data'!T47*Prod_RA*Size_dist_SQ_RA</f>
        <v>0</v>
      </c>
      <c r="R93" s="71">
        <f>Handling_Const_EF_TSP_RA*('Regional data'!$U47/2.2)^1.3/(Moisture_RA*100/2)^1.4</f>
        <v>0</v>
      </c>
      <c r="S93" s="71">
        <f>Handling_Const_EF_PM10_RA*('Regional data'!$U47/2.2)^1.3/(Moisture_RA*100/2)^1.4</f>
        <v>0</v>
      </c>
      <c r="T93" s="73">
        <f>Handling_Const_EF_PM2.5_RA*('Regional data'!$U47/2.2)^1.3/(Moisture_RA*100/2)^1.4</f>
        <v>0</v>
      </c>
    </row>
    <row r="94" spans="2:20" x14ac:dyDescent="0.25">
      <c r="B94" s="69">
        <f>'Regional data'!B48</f>
        <v>0</v>
      </c>
      <c r="C94" s="141">
        <f>'Regional data'!F48*Prod_CR*Size_dist_LQ_CR</f>
        <v>0</v>
      </c>
      <c r="D94" s="142">
        <f>'Regional data'!G48*Prod_CR*Size_dist_MQ_CR</f>
        <v>0</v>
      </c>
      <c r="E94" s="142">
        <f>'Regional data'!H48*Prod_CR*Size_dist_SQ_CR</f>
        <v>0</v>
      </c>
      <c r="F94" s="71">
        <f>Handling_Const_EF_TSP_CR*('Regional data'!$U48/2.2)^1.3/(Moisture_CR*100/2)^1.4</f>
        <v>0</v>
      </c>
      <c r="G94" s="71">
        <f>Handling_Const_EF_PM10_CR*('Regional data'!$U48/2.2)^1.3/(Moisture_CR*100/2)^1.4</f>
        <v>0</v>
      </c>
      <c r="H94" s="72">
        <f>Handling_Const_EF_PM2.5_CR*('Regional data'!$U48/2.2)^1.3/(Moisture_CR*100/2)^1.4</f>
        <v>0</v>
      </c>
      <c r="I94" s="141">
        <f>'Regional data'!L48*Prod_SG*Size_dist_LQ_SG</f>
        <v>0</v>
      </c>
      <c r="J94" s="142">
        <f>'Regional data'!M48*Prod_SG*Size_dist_MQ_SG</f>
        <v>0</v>
      </c>
      <c r="K94" s="142">
        <f>'Regional data'!N48*Prod_SG*Size_dist_SQ_SG</f>
        <v>0</v>
      </c>
      <c r="L94" s="71">
        <f>Handling_Const_EF_TSP_SG*('Regional data'!$U48/2.2)^1.3/(Moisture_SG*100/2)^1.4</f>
        <v>0</v>
      </c>
      <c r="M94" s="71">
        <f>Handling_Const_EF_PM10_SG*('Regional data'!$U48/2.2)^1.3/(Moisture_SG*100/2)^1.4</f>
        <v>0</v>
      </c>
      <c r="N94" s="73">
        <f>Handling_Const_EF_PM2.5_SG*('Regional data'!$U48/2.2)^1.3/(Moisture_SG*100/2)^1.4</f>
        <v>0</v>
      </c>
      <c r="O94" s="141">
        <f>'Regional data'!R48*Prod_RA*Size_dist_LQ_RA</f>
        <v>0</v>
      </c>
      <c r="P94" s="142">
        <f>'Regional data'!S48*Prod_RA*Size_dist_MQ_RA</f>
        <v>0</v>
      </c>
      <c r="Q94" s="142">
        <f>'Regional data'!T48*Prod_RA*Size_dist_SQ_RA</f>
        <v>0</v>
      </c>
      <c r="R94" s="71">
        <f>Handling_Const_EF_TSP_RA*('Regional data'!$U48/2.2)^1.3/(Moisture_RA*100/2)^1.4</f>
        <v>0</v>
      </c>
      <c r="S94" s="71">
        <f>Handling_Const_EF_PM10_RA*('Regional data'!$U48/2.2)^1.3/(Moisture_RA*100/2)^1.4</f>
        <v>0</v>
      </c>
      <c r="T94" s="73">
        <f>Handling_Const_EF_PM2.5_RA*('Regional data'!$U48/2.2)^1.3/(Moisture_RA*100/2)^1.4</f>
        <v>0</v>
      </c>
    </row>
    <row r="95" spans="2:20" x14ac:dyDescent="0.25">
      <c r="B95" s="69">
        <f>'Regional data'!B49</f>
        <v>0</v>
      </c>
      <c r="C95" s="141">
        <f>'Regional data'!F49*Prod_CR*Size_dist_LQ_CR</f>
        <v>0</v>
      </c>
      <c r="D95" s="142">
        <f>'Regional data'!G49*Prod_CR*Size_dist_MQ_CR</f>
        <v>0</v>
      </c>
      <c r="E95" s="142">
        <f>'Regional data'!H49*Prod_CR*Size_dist_SQ_CR</f>
        <v>0</v>
      </c>
      <c r="F95" s="71">
        <f>Handling_Const_EF_TSP_CR*('Regional data'!$U49/2.2)^1.3/(Moisture_CR*100/2)^1.4</f>
        <v>0</v>
      </c>
      <c r="G95" s="71">
        <f>Handling_Const_EF_PM10_CR*('Regional data'!$U49/2.2)^1.3/(Moisture_CR*100/2)^1.4</f>
        <v>0</v>
      </c>
      <c r="H95" s="72">
        <f>Handling_Const_EF_PM2.5_CR*('Regional data'!$U49/2.2)^1.3/(Moisture_CR*100/2)^1.4</f>
        <v>0</v>
      </c>
      <c r="I95" s="141">
        <f>'Regional data'!L49*Prod_SG*Size_dist_LQ_SG</f>
        <v>0</v>
      </c>
      <c r="J95" s="142">
        <f>'Regional data'!M49*Prod_SG*Size_dist_MQ_SG</f>
        <v>0</v>
      </c>
      <c r="K95" s="142">
        <f>'Regional data'!N49*Prod_SG*Size_dist_SQ_SG</f>
        <v>0</v>
      </c>
      <c r="L95" s="71">
        <f>Handling_Const_EF_TSP_SG*('Regional data'!$U49/2.2)^1.3/(Moisture_SG*100/2)^1.4</f>
        <v>0</v>
      </c>
      <c r="M95" s="71">
        <f>Handling_Const_EF_PM10_SG*('Regional data'!$U49/2.2)^1.3/(Moisture_SG*100/2)^1.4</f>
        <v>0</v>
      </c>
      <c r="N95" s="73">
        <f>Handling_Const_EF_PM2.5_SG*('Regional data'!$U49/2.2)^1.3/(Moisture_SG*100/2)^1.4</f>
        <v>0</v>
      </c>
      <c r="O95" s="141">
        <f>'Regional data'!R49*Prod_RA*Size_dist_LQ_RA</f>
        <v>0</v>
      </c>
      <c r="P95" s="142">
        <f>'Regional data'!S49*Prod_RA*Size_dist_MQ_RA</f>
        <v>0</v>
      </c>
      <c r="Q95" s="142">
        <f>'Regional data'!T49*Prod_RA*Size_dist_SQ_RA</f>
        <v>0</v>
      </c>
      <c r="R95" s="71">
        <f>Handling_Const_EF_TSP_RA*('Regional data'!$U49/2.2)^1.3/(Moisture_RA*100/2)^1.4</f>
        <v>0</v>
      </c>
      <c r="S95" s="71">
        <f>Handling_Const_EF_PM10_RA*('Regional data'!$U49/2.2)^1.3/(Moisture_RA*100/2)^1.4</f>
        <v>0</v>
      </c>
      <c r="T95" s="73">
        <f>Handling_Const_EF_PM2.5_RA*('Regional data'!$U49/2.2)^1.3/(Moisture_RA*100/2)^1.4</f>
        <v>0</v>
      </c>
    </row>
    <row r="96" spans="2:20" x14ac:dyDescent="0.25">
      <c r="B96" s="69">
        <f>'Regional data'!B50</f>
        <v>0</v>
      </c>
      <c r="C96" s="141">
        <f>'Regional data'!F50*Prod_CR*Size_dist_LQ_CR</f>
        <v>0</v>
      </c>
      <c r="D96" s="142">
        <f>'Regional data'!G50*Prod_CR*Size_dist_MQ_CR</f>
        <v>0</v>
      </c>
      <c r="E96" s="142">
        <f>'Regional data'!H50*Prod_CR*Size_dist_SQ_CR</f>
        <v>0</v>
      </c>
      <c r="F96" s="71">
        <f>Handling_Const_EF_TSP_CR*('Regional data'!$U50/2.2)^1.3/(Moisture_CR*100/2)^1.4</f>
        <v>0</v>
      </c>
      <c r="G96" s="71">
        <f>Handling_Const_EF_PM10_CR*('Regional data'!$U50/2.2)^1.3/(Moisture_CR*100/2)^1.4</f>
        <v>0</v>
      </c>
      <c r="H96" s="72">
        <f>Handling_Const_EF_PM2.5_CR*('Regional data'!$U50/2.2)^1.3/(Moisture_CR*100/2)^1.4</f>
        <v>0</v>
      </c>
      <c r="I96" s="141">
        <f>'Regional data'!L50*Prod_SG*Size_dist_LQ_SG</f>
        <v>0</v>
      </c>
      <c r="J96" s="142">
        <f>'Regional data'!M50*Prod_SG*Size_dist_MQ_SG</f>
        <v>0</v>
      </c>
      <c r="K96" s="142">
        <f>'Regional data'!N50*Prod_SG*Size_dist_SQ_SG</f>
        <v>0</v>
      </c>
      <c r="L96" s="71">
        <f>Handling_Const_EF_TSP_SG*('Regional data'!$U50/2.2)^1.3/(Moisture_SG*100/2)^1.4</f>
        <v>0</v>
      </c>
      <c r="M96" s="71">
        <f>Handling_Const_EF_PM10_SG*('Regional data'!$U50/2.2)^1.3/(Moisture_SG*100/2)^1.4</f>
        <v>0</v>
      </c>
      <c r="N96" s="73">
        <f>Handling_Const_EF_PM2.5_SG*('Regional data'!$U50/2.2)^1.3/(Moisture_SG*100/2)^1.4</f>
        <v>0</v>
      </c>
      <c r="O96" s="141">
        <f>'Regional data'!R50*Prod_RA*Size_dist_LQ_RA</f>
        <v>0</v>
      </c>
      <c r="P96" s="142">
        <f>'Regional data'!S50*Prod_RA*Size_dist_MQ_RA</f>
        <v>0</v>
      </c>
      <c r="Q96" s="142">
        <f>'Regional data'!T50*Prod_RA*Size_dist_SQ_RA</f>
        <v>0</v>
      </c>
      <c r="R96" s="71">
        <f>Handling_Const_EF_TSP_RA*('Regional data'!$U50/2.2)^1.3/(Moisture_RA*100/2)^1.4</f>
        <v>0</v>
      </c>
      <c r="S96" s="71">
        <f>Handling_Const_EF_PM10_RA*('Regional data'!$U50/2.2)^1.3/(Moisture_RA*100/2)^1.4</f>
        <v>0</v>
      </c>
      <c r="T96" s="73">
        <f>Handling_Const_EF_PM2.5_RA*('Regional data'!$U50/2.2)^1.3/(Moisture_RA*100/2)^1.4</f>
        <v>0</v>
      </c>
    </row>
    <row r="97" spans="2:20" x14ac:dyDescent="0.25">
      <c r="B97" s="69">
        <f>'Regional data'!B51</f>
        <v>0</v>
      </c>
      <c r="C97" s="141">
        <f>'Regional data'!F51*Prod_CR*Size_dist_LQ_CR</f>
        <v>0</v>
      </c>
      <c r="D97" s="142">
        <f>'Regional data'!G51*Prod_CR*Size_dist_MQ_CR</f>
        <v>0</v>
      </c>
      <c r="E97" s="142">
        <f>'Regional data'!H51*Prod_CR*Size_dist_SQ_CR</f>
        <v>0</v>
      </c>
      <c r="F97" s="71">
        <f>Handling_Const_EF_TSP_CR*('Regional data'!$U51/2.2)^1.3/(Moisture_CR*100/2)^1.4</f>
        <v>0</v>
      </c>
      <c r="G97" s="71">
        <f>Handling_Const_EF_PM10_CR*('Regional data'!$U51/2.2)^1.3/(Moisture_CR*100/2)^1.4</f>
        <v>0</v>
      </c>
      <c r="H97" s="72">
        <f>Handling_Const_EF_PM2.5_CR*('Regional data'!$U51/2.2)^1.3/(Moisture_CR*100/2)^1.4</f>
        <v>0</v>
      </c>
      <c r="I97" s="141">
        <f>'Regional data'!L51*Prod_SG*Size_dist_LQ_SG</f>
        <v>0</v>
      </c>
      <c r="J97" s="142">
        <f>'Regional data'!M51*Prod_SG*Size_dist_MQ_SG</f>
        <v>0</v>
      </c>
      <c r="K97" s="142">
        <f>'Regional data'!N51*Prod_SG*Size_dist_SQ_SG</f>
        <v>0</v>
      </c>
      <c r="L97" s="71">
        <f>Handling_Const_EF_TSP_SG*('Regional data'!$U51/2.2)^1.3/(Moisture_SG*100/2)^1.4</f>
        <v>0</v>
      </c>
      <c r="M97" s="71">
        <f>Handling_Const_EF_PM10_SG*('Regional data'!$U51/2.2)^1.3/(Moisture_SG*100/2)^1.4</f>
        <v>0</v>
      </c>
      <c r="N97" s="73">
        <f>Handling_Const_EF_PM2.5_SG*('Regional data'!$U51/2.2)^1.3/(Moisture_SG*100/2)^1.4</f>
        <v>0</v>
      </c>
      <c r="O97" s="141">
        <f>'Regional data'!R51*Prod_RA*Size_dist_LQ_RA</f>
        <v>0</v>
      </c>
      <c r="P97" s="142">
        <f>'Regional data'!S51*Prod_RA*Size_dist_MQ_RA</f>
        <v>0</v>
      </c>
      <c r="Q97" s="142">
        <f>'Regional data'!T51*Prod_RA*Size_dist_SQ_RA</f>
        <v>0</v>
      </c>
      <c r="R97" s="71">
        <f>Handling_Const_EF_TSP_RA*('Regional data'!$U51/2.2)^1.3/(Moisture_RA*100/2)^1.4</f>
        <v>0</v>
      </c>
      <c r="S97" s="71">
        <f>Handling_Const_EF_PM10_RA*('Regional data'!$U51/2.2)^1.3/(Moisture_RA*100/2)^1.4</f>
        <v>0</v>
      </c>
      <c r="T97" s="73">
        <f>Handling_Const_EF_PM2.5_RA*('Regional data'!$U51/2.2)^1.3/(Moisture_RA*100/2)^1.4</f>
        <v>0</v>
      </c>
    </row>
    <row r="98" spans="2:20" x14ac:dyDescent="0.25">
      <c r="B98" s="69">
        <f>'Regional data'!B52</f>
        <v>0</v>
      </c>
      <c r="C98" s="141">
        <f>'Regional data'!F52*Prod_CR*Size_dist_LQ_CR</f>
        <v>0</v>
      </c>
      <c r="D98" s="142">
        <f>'Regional data'!G52*Prod_CR*Size_dist_MQ_CR</f>
        <v>0</v>
      </c>
      <c r="E98" s="142">
        <f>'Regional data'!H52*Prod_CR*Size_dist_SQ_CR</f>
        <v>0</v>
      </c>
      <c r="F98" s="71">
        <f>Handling_Const_EF_TSP_CR*('Regional data'!$U52/2.2)^1.3/(Moisture_CR*100/2)^1.4</f>
        <v>0</v>
      </c>
      <c r="G98" s="71">
        <f>Handling_Const_EF_PM10_CR*('Regional data'!$U52/2.2)^1.3/(Moisture_CR*100/2)^1.4</f>
        <v>0</v>
      </c>
      <c r="H98" s="72">
        <f>Handling_Const_EF_PM2.5_CR*('Regional data'!$U52/2.2)^1.3/(Moisture_CR*100/2)^1.4</f>
        <v>0</v>
      </c>
      <c r="I98" s="141">
        <f>'Regional data'!L52*Prod_SG*Size_dist_LQ_SG</f>
        <v>0</v>
      </c>
      <c r="J98" s="142">
        <f>'Regional data'!M52*Prod_SG*Size_dist_MQ_SG</f>
        <v>0</v>
      </c>
      <c r="K98" s="142">
        <f>'Regional data'!N52*Prod_SG*Size_dist_SQ_SG</f>
        <v>0</v>
      </c>
      <c r="L98" s="71">
        <f>Handling_Const_EF_TSP_SG*('Regional data'!$U52/2.2)^1.3/(Moisture_SG*100/2)^1.4</f>
        <v>0</v>
      </c>
      <c r="M98" s="71">
        <f>Handling_Const_EF_PM10_SG*('Regional data'!$U52/2.2)^1.3/(Moisture_SG*100/2)^1.4</f>
        <v>0</v>
      </c>
      <c r="N98" s="73">
        <f>Handling_Const_EF_PM2.5_SG*('Regional data'!$U52/2.2)^1.3/(Moisture_SG*100/2)^1.4</f>
        <v>0</v>
      </c>
      <c r="O98" s="141">
        <f>'Regional data'!R52*Prod_RA*Size_dist_LQ_RA</f>
        <v>0</v>
      </c>
      <c r="P98" s="142">
        <f>'Regional data'!S52*Prod_RA*Size_dist_MQ_RA</f>
        <v>0</v>
      </c>
      <c r="Q98" s="142">
        <f>'Regional data'!T52*Prod_RA*Size_dist_SQ_RA</f>
        <v>0</v>
      </c>
      <c r="R98" s="71">
        <f>Handling_Const_EF_TSP_RA*('Regional data'!$U52/2.2)^1.3/(Moisture_RA*100/2)^1.4</f>
        <v>0</v>
      </c>
      <c r="S98" s="71">
        <f>Handling_Const_EF_PM10_RA*('Regional data'!$U52/2.2)^1.3/(Moisture_RA*100/2)^1.4</f>
        <v>0</v>
      </c>
      <c r="T98" s="73">
        <f>Handling_Const_EF_PM2.5_RA*('Regional data'!$U52/2.2)^1.3/(Moisture_RA*100/2)^1.4</f>
        <v>0</v>
      </c>
    </row>
    <row r="99" spans="2:20" x14ac:dyDescent="0.25">
      <c r="B99" s="69">
        <f>'Regional data'!B53</f>
        <v>0</v>
      </c>
      <c r="C99" s="141">
        <f>'Regional data'!F53*Prod_CR*Size_dist_LQ_CR</f>
        <v>0</v>
      </c>
      <c r="D99" s="142">
        <f>'Regional data'!G53*Prod_CR*Size_dist_MQ_CR</f>
        <v>0</v>
      </c>
      <c r="E99" s="142">
        <f>'Regional data'!H53*Prod_CR*Size_dist_SQ_CR</f>
        <v>0</v>
      </c>
      <c r="F99" s="71">
        <f>Handling_Const_EF_TSP_CR*('Regional data'!$U53/2.2)^1.3/(Moisture_CR*100/2)^1.4</f>
        <v>0</v>
      </c>
      <c r="G99" s="71">
        <f>Handling_Const_EF_PM10_CR*('Regional data'!$U53/2.2)^1.3/(Moisture_CR*100/2)^1.4</f>
        <v>0</v>
      </c>
      <c r="H99" s="72">
        <f>Handling_Const_EF_PM2.5_CR*('Regional data'!$U53/2.2)^1.3/(Moisture_CR*100/2)^1.4</f>
        <v>0</v>
      </c>
      <c r="I99" s="141">
        <f>'Regional data'!L53*Prod_SG*Size_dist_LQ_SG</f>
        <v>0</v>
      </c>
      <c r="J99" s="142">
        <f>'Regional data'!M53*Prod_SG*Size_dist_MQ_SG</f>
        <v>0</v>
      </c>
      <c r="K99" s="142">
        <f>'Regional data'!N53*Prod_SG*Size_dist_SQ_SG</f>
        <v>0</v>
      </c>
      <c r="L99" s="71">
        <f>Handling_Const_EF_TSP_SG*('Regional data'!$U53/2.2)^1.3/(Moisture_SG*100/2)^1.4</f>
        <v>0</v>
      </c>
      <c r="M99" s="71">
        <f>Handling_Const_EF_PM10_SG*('Regional data'!$U53/2.2)^1.3/(Moisture_SG*100/2)^1.4</f>
        <v>0</v>
      </c>
      <c r="N99" s="73">
        <f>Handling_Const_EF_PM2.5_SG*('Regional data'!$U53/2.2)^1.3/(Moisture_SG*100/2)^1.4</f>
        <v>0</v>
      </c>
      <c r="O99" s="141">
        <f>'Regional data'!R53*Prod_RA*Size_dist_LQ_RA</f>
        <v>0</v>
      </c>
      <c r="P99" s="142">
        <f>'Regional data'!S53*Prod_RA*Size_dist_MQ_RA</f>
        <v>0</v>
      </c>
      <c r="Q99" s="142">
        <f>'Regional data'!T53*Prod_RA*Size_dist_SQ_RA</f>
        <v>0</v>
      </c>
      <c r="R99" s="71">
        <f>Handling_Const_EF_TSP_RA*('Regional data'!$U53/2.2)^1.3/(Moisture_RA*100/2)^1.4</f>
        <v>0</v>
      </c>
      <c r="S99" s="71">
        <f>Handling_Const_EF_PM10_RA*('Regional data'!$U53/2.2)^1.3/(Moisture_RA*100/2)^1.4</f>
        <v>0</v>
      </c>
      <c r="T99" s="73">
        <f>Handling_Const_EF_PM2.5_RA*('Regional data'!$U53/2.2)^1.3/(Moisture_RA*100/2)^1.4</f>
        <v>0</v>
      </c>
    </row>
    <row r="100" spans="2:20" x14ac:dyDescent="0.25">
      <c r="B100" s="69">
        <f>'Regional data'!B54</f>
        <v>0</v>
      </c>
      <c r="C100" s="141">
        <f>'Regional data'!F54*Prod_CR*Size_dist_LQ_CR</f>
        <v>0</v>
      </c>
      <c r="D100" s="142">
        <f>'Regional data'!G54*Prod_CR*Size_dist_MQ_CR</f>
        <v>0</v>
      </c>
      <c r="E100" s="142">
        <f>'Regional data'!H54*Prod_CR*Size_dist_SQ_CR</f>
        <v>0</v>
      </c>
      <c r="F100" s="71">
        <f>Handling_Const_EF_TSP_CR*('Regional data'!$U54/2.2)^1.3/(Moisture_CR*100/2)^1.4</f>
        <v>0</v>
      </c>
      <c r="G100" s="71">
        <f>Handling_Const_EF_PM10_CR*('Regional data'!$U54/2.2)^1.3/(Moisture_CR*100/2)^1.4</f>
        <v>0</v>
      </c>
      <c r="H100" s="72">
        <f>Handling_Const_EF_PM2.5_CR*('Regional data'!$U54/2.2)^1.3/(Moisture_CR*100/2)^1.4</f>
        <v>0</v>
      </c>
      <c r="I100" s="141">
        <f>'Regional data'!L54*Prod_SG*Size_dist_LQ_SG</f>
        <v>0</v>
      </c>
      <c r="J100" s="142">
        <f>'Regional data'!M54*Prod_SG*Size_dist_MQ_SG</f>
        <v>0</v>
      </c>
      <c r="K100" s="142">
        <f>'Regional data'!N54*Prod_SG*Size_dist_SQ_SG</f>
        <v>0</v>
      </c>
      <c r="L100" s="71">
        <f>Handling_Const_EF_TSP_SG*('Regional data'!$U54/2.2)^1.3/(Moisture_SG*100/2)^1.4</f>
        <v>0</v>
      </c>
      <c r="M100" s="71">
        <f>Handling_Const_EF_PM10_SG*('Regional data'!$U54/2.2)^1.3/(Moisture_SG*100/2)^1.4</f>
        <v>0</v>
      </c>
      <c r="N100" s="73">
        <f>Handling_Const_EF_PM2.5_SG*('Regional data'!$U54/2.2)^1.3/(Moisture_SG*100/2)^1.4</f>
        <v>0</v>
      </c>
      <c r="O100" s="141">
        <f>'Regional data'!R54*Prod_RA*Size_dist_LQ_RA</f>
        <v>0</v>
      </c>
      <c r="P100" s="142">
        <f>'Regional data'!S54*Prod_RA*Size_dist_MQ_RA</f>
        <v>0</v>
      </c>
      <c r="Q100" s="142">
        <f>'Regional data'!T54*Prod_RA*Size_dist_SQ_RA</f>
        <v>0</v>
      </c>
      <c r="R100" s="71">
        <f>Handling_Const_EF_TSP_RA*('Regional data'!$U54/2.2)^1.3/(Moisture_RA*100/2)^1.4</f>
        <v>0</v>
      </c>
      <c r="S100" s="71">
        <f>Handling_Const_EF_PM10_RA*('Regional data'!$U54/2.2)^1.3/(Moisture_RA*100/2)^1.4</f>
        <v>0</v>
      </c>
      <c r="T100" s="73">
        <f>Handling_Const_EF_PM2.5_RA*('Regional data'!$U54/2.2)^1.3/(Moisture_RA*100/2)^1.4</f>
        <v>0</v>
      </c>
    </row>
    <row r="101" spans="2:20" x14ac:dyDescent="0.25">
      <c r="B101" s="69">
        <f>'Regional data'!B55</f>
        <v>0</v>
      </c>
      <c r="C101" s="141">
        <f>'Regional data'!F55*Prod_CR*Size_dist_LQ_CR</f>
        <v>0</v>
      </c>
      <c r="D101" s="142">
        <f>'Regional data'!G55*Prod_CR*Size_dist_MQ_CR</f>
        <v>0</v>
      </c>
      <c r="E101" s="142">
        <f>'Regional data'!H55*Prod_CR*Size_dist_SQ_CR</f>
        <v>0</v>
      </c>
      <c r="F101" s="71">
        <f>Handling_Const_EF_TSP_CR*('Regional data'!$U55/2.2)^1.3/(Moisture_CR*100/2)^1.4</f>
        <v>0</v>
      </c>
      <c r="G101" s="71">
        <f>Handling_Const_EF_PM10_CR*('Regional data'!$U55/2.2)^1.3/(Moisture_CR*100/2)^1.4</f>
        <v>0</v>
      </c>
      <c r="H101" s="72">
        <f>Handling_Const_EF_PM2.5_CR*('Regional data'!$U55/2.2)^1.3/(Moisture_CR*100/2)^1.4</f>
        <v>0</v>
      </c>
      <c r="I101" s="141">
        <f>'Regional data'!L55*Prod_SG*Size_dist_LQ_SG</f>
        <v>0</v>
      </c>
      <c r="J101" s="142">
        <f>'Regional data'!M55*Prod_SG*Size_dist_MQ_SG</f>
        <v>0</v>
      </c>
      <c r="K101" s="142">
        <f>'Regional data'!N55*Prod_SG*Size_dist_SQ_SG</f>
        <v>0</v>
      </c>
      <c r="L101" s="71">
        <f>Handling_Const_EF_TSP_SG*('Regional data'!$U55/2.2)^1.3/(Moisture_SG*100/2)^1.4</f>
        <v>0</v>
      </c>
      <c r="M101" s="71">
        <f>Handling_Const_EF_PM10_SG*('Regional data'!$U55/2.2)^1.3/(Moisture_SG*100/2)^1.4</f>
        <v>0</v>
      </c>
      <c r="N101" s="73">
        <f>Handling_Const_EF_PM2.5_SG*('Regional data'!$U55/2.2)^1.3/(Moisture_SG*100/2)^1.4</f>
        <v>0</v>
      </c>
      <c r="O101" s="141">
        <f>'Regional data'!R55*Prod_RA*Size_dist_LQ_RA</f>
        <v>0</v>
      </c>
      <c r="P101" s="142">
        <f>'Regional data'!S55*Prod_RA*Size_dist_MQ_RA</f>
        <v>0</v>
      </c>
      <c r="Q101" s="142">
        <f>'Regional data'!T55*Prod_RA*Size_dist_SQ_RA</f>
        <v>0</v>
      </c>
      <c r="R101" s="71">
        <f>Handling_Const_EF_TSP_RA*('Regional data'!$U55/2.2)^1.3/(Moisture_RA*100/2)^1.4</f>
        <v>0</v>
      </c>
      <c r="S101" s="71">
        <f>Handling_Const_EF_PM10_RA*('Regional data'!$U55/2.2)^1.3/(Moisture_RA*100/2)^1.4</f>
        <v>0</v>
      </c>
      <c r="T101" s="73">
        <f>Handling_Const_EF_PM2.5_RA*('Regional data'!$U55/2.2)^1.3/(Moisture_RA*100/2)^1.4</f>
        <v>0</v>
      </c>
    </row>
    <row r="102" spans="2:20" x14ac:dyDescent="0.25">
      <c r="B102" s="69">
        <f>'Regional data'!B56</f>
        <v>0</v>
      </c>
      <c r="C102" s="141">
        <f>'Regional data'!F56*Prod_CR*Size_dist_LQ_CR</f>
        <v>0</v>
      </c>
      <c r="D102" s="142">
        <f>'Regional data'!G56*Prod_CR*Size_dist_MQ_CR</f>
        <v>0</v>
      </c>
      <c r="E102" s="142">
        <f>'Regional data'!H56*Prod_CR*Size_dist_SQ_CR</f>
        <v>0</v>
      </c>
      <c r="F102" s="71">
        <f>Handling_Const_EF_TSP_CR*('Regional data'!$U56/2.2)^1.3/(Moisture_CR*100/2)^1.4</f>
        <v>0</v>
      </c>
      <c r="G102" s="71">
        <f>Handling_Const_EF_PM10_CR*('Regional data'!$U56/2.2)^1.3/(Moisture_CR*100/2)^1.4</f>
        <v>0</v>
      </c>
      <c r="H102" s="72">
        <f>Handling_Const_EF_PM2.5_CR*('Regional data'!$U56/2.2)^1.3/(Moisture_CR*100/2)^1.4</f>
        <v>0</v>
      </c>
      <c r="I102" s="141">
        <f>'Regional data'!L56*Prod_SG*Size_dist_LQ_SG</f>
        <v>0</v>
      </c>
      <c r="J102" s="142">
        <f>'Regional data'!M56*Prod_SG*Size_dist_MQ_SG</f>
        <v>0</v>
      </c>
      <c r="K102" s="142">
        <f>'Regional data'!N56*Prod_SG*Size_dist_SQ_SG</f>
        <v>0</v>
      </c>
      <c r="L102" s="71">
        <f>Handling_Const_EF_TSP_SG*('Regional data'!$U56/2.2)^1.3/(Moisture_SG*100/2)^1.4</f>
        <v>0</v>
      </c>
      <c r="M102" s="71">
        <f>Handling_Const_EF_PM10_SG*('Regional data'!$U56/2.2)^1.3/(Moisture_SG*100/2)^1.4</f>
        <v>0</v>
      </c>
      <c r="N102" s="73">
        <f>Handling_Const_EF_PM2.5_SG*('Regional data'!$U56/2.2)^1.3/(Moisture_SG*100/2)^1.4</f>
        <v>0</v>
      </c>
      <c r="O102" s="141">
        <f>'Regional data'!R56*Prod_RA*Size_dist_LQ_RA</f>
        <v>0</v>
      </c>
      <c r="P102" s="142">
        <f>'Regional data'!S56*Prod_RA*Size_dist_MQ_RA</f>
        <v>0</v>
      </c>
      <c r="Q102" s="142">
        <f>'Regional data'!T56*Prod_RA*Size_dist_SQ_RA</f>
        <v>0</v>
      </c>
      <c r="R102" s="71">
        <f>Handling_Const_EF_TSP_RA*('Regional data'!$U56/2.2)^1.3/(Moisture_RA*100/2)^1.4</f>
        <v>0</v>
      </c>
      <c r="S102" s="71">
        <f>Handling_Const_EF_PM10_RA*('Regional data'!$U56/2.2)^1.3/(Moisture_RA*100/2)^1.4</f>
        <v>0</v>
      </c>
      <c r="T102" s="73">
        <f>Handling_Const_EF_PM2.5_RA*('Regional data'!$U56/2.2)^1.3/(Moisture_RA*100/2)^1.4</f>
        <v>0</v>
      </c>
    </row>
    <row r="103" spans="2:20" x14ac:dyDescent="0.25">
      <c r="B103" s="69">
        <f>'Regional data'!B57</f>
        <v>0</v>
      </c>
      <c r="C103" s="141">
        <f>'Regional data'!F57*Prod_CR*Size_dist_LQ_CR</f>
        <v>0</v>
      </c>
      <c r="D103" s="142">
        <f>'Regional data'!G57*Prod_CR*Size_dist_MQ_CR</f>
        <v>0</v>
      </c>
      <c r="E103" s="142">
        <f>'Regional data'!H57*Prod_CR*Size_dist_SQ_CR</f>
        <v>0</v>
      </c>
      <c r="F103" s="71">
        <f>Handling_Const_EF_TSP_CR*('Regional data'!$U57/2.2)^1.3/(Moisture_CR*100/2)^1.4</f>
        <v>0</v>
      </c>
      <c r="G103" s="71">
        <f>Handling_Const_EF_PM10_CR*('Regional data'!$U57/2.2)^1.3/(Moisture_CR*100/2)^1.4</f>
        <v>0</v>
      </c>
      <c r="H103" s="72">
        <f>Handling_Const_EF_PM2.5_CR*('Regional data'!$U57/2.2)^1.3/(Moisture_CR*100/2)^1.4</f>
        <v>0</v>
      </c>
      <c r="I103" s="141">
        <f>'Regional data'!L57*Prod_SG*Size_dist_LQ_SG</f>
        <v>0</v>
      </c>
      <c r="J103" s="142">
        <f>'Regional data'!M57*Prod_SG*Size_dist_MQ_SG</f>
        <v>0</v>
      </c>
      <c r="K103" s="142">
        <f>'Regional data'!N57*Prod_SG*Size_dist_SQ_SG</f>
        <v>0</v>
      </c>
      <c r="L103" s="71">
        <f>Handling_Const_EF_TSP_SG*('Regional data'!$U57/2.2)^1.3/(Moisture_SG*100/2)^1.4</f>
        <v>0</v>
      </c>
      <c r="M103" s="71">
        <f>Handling_Const_EF_PM10_SG*('Regional data'!$U57/2.2)^1.3/(Moisture_SG*100/2)^1.4</f>
        <v>0</v>
      </c>
      <c r="N103" s="73">
        <f>Handling_Const_EF_PM2.5_SG*('Regional data'!$U57/2.2)^1.3/(Moisture_SG*100/2)^1.4</f>
        <v>0</v>
      </c>
      <c r="O103" s="141">
        <f>'Regional data'!R57*Prod_RA*Size_dist_LQ_RA</f>
        <v>0</v>
      </c>
      <c r="P103" s="142">
        <f>'Regional data'!S57*Prod_RA*Size_dist_MQ_RA</f>
        <v>0</v>
      </c>
      <c r="Q103" s="142">
        <f>'Regional data'!T57*Prod_RA*Size_dist_SQ_RA</f>
        <v>0</v>
      </c>
      <c r="R103" s="71">
        <f>Handling_Const_EF_TSP_RA*('Regional data'!$U57/2.2)^1.3/(Moisture_RA*100/2)^1.4</f>
        <v>0</v>
      </c>
      <c r="S103" s="71">
        <f>Handling_Const_EF_PM10_RA*('Regional data'!$U57/2.2)^1.3/(Moisture_RA*100/2)^1.4</f>
        <v>0</v>
      </c>
      <c r="T103" s="73">
        <f>Handling_Const_EF_PM2.5_RA*('Regional data'!$U57/2.2)^1.3/(Moisture_RA*100/2)^1.4</f>
        <v>0</v>
      </c>
    </row>
    <row r="104" spans="2:20" x14ac:dyDescent="0.25">
      <c r="B104" s="69">
        <f>'Regional data'!B58</f>
        <v>0</v>
      </c>
      <c r="C104" s="141">
        <f>'Regional data'!F58*Prod_CR*Size_dist_LQ_CR</f>
        <v>0</v>
      </c>
      <c r="D104" s="142">
        <f>'Regional data'!G58*Prod_CR*Size_dist_MQ_CR</f>
        <v>0</v>
      </c>
      <c r="E104" s="142">
        <f>'Regional data'!H58*Prod_CR*Size_dist_SQ_CR</f>
        <v>0</v>
      </c>
      <c r="F104" s="71">
        <f>Handling_Const_EF_TSP_CR*('Regional data'!$U58/2.2)^1.3/(Moisture_CR*100/2)^1.4</f>
        <v>0</v>
      </c>
      <c r="G104" s="71">
        <f>Handling_Const_EF_PM10_CR*('Regional data'!$U58/2.2)^1.3/(Moisture_CR*100/2)^1.4</f>
        <v>0</v>
      </c>
      <c r="H104" s="72">
        <f>Handling_Const_EF_PM2.5_CR*('Regional data'!$U58/2.2)^1.3/(Moisture_CR*100/2)^1.4</f>
        <v>0</v>
      </c>
      <c r="I104" s="141">
        <f>'Regional data'!L58*Prod_SG*Size_dist_LQ_SG</f>
        <v>0</v>
      </c>
      <c r="J104" s="142">
        <f>'Regional data'!M58*Prod_SG*Size_dist_MQ_SG</f>
        <v>0</v>
      </c>
      <c r="K104" s="142">
        <f>'Regional data'!N58*Prod_SG*Size_dist_SQ_SG</f>
        <v>0</v>
      </c>
      <c r="L104" s="71">
        <f>Handling_Const_EF_TSP_SG*('Regional data'!$U58/2.2)^1.3/(Moisture_SG*100/2)^1.4</f>
        <v>0</v>
      </c>
      <c r="M104" s="71">
        <f>Handling_Const_EF_PM10_SG*('Regional data'!$U58/2.2)^1.3/(Moisture_SG*100/2)^1.4</f>
        <v>0</v>
      </c>
      <c r="N104" s="73">
        <f>Handling_Const_EF_PM2.5_SG*('Regional data'!$U58/2.2)^1.3/(Moisture_SG*100/2)^1.4</f>
        <v>0</v>
      </c>
      <c r="O104" s="141">
        <f>'Regional data'!R58*Prod_RA*Size_dist_LQ_RA</f>
        <v>0</v>
      </c>
      <c r="P104" s="142">
        <f>'Regional data'!S58*Prod_RA*Size_dist_MQ_RA</f>
        <v>0</v>
      </c>
      <c r="Q104" s="142">
        <f>'Regional data'!T58*Prod_RA*Size_dist_SQ_RA</f>
        <v>0</v>
      </c>
      <c r="R104" s="71">
        <f>Handling_Const_EF_TSP_RA*('Regional data'!$U58/2.2)^1.3/(Moisture_RA*100/2)^1.4</f>
        <v>0</v>
      </c>
      <c r="S104" s="71">
        <f>Handling_Const_EF_PM10_RA*('Regional data'!$U58/2.2)^1.3/(Moisture_RA*100/2)^1.4</f>
        <v>0</v>
      </c>
      <c r="T104" s="73">
        <f>Handling_Const_EF_PM2.5_RA*('Regional data'!$U58/2.2)^1.3/(Moisture_RA*100/2)^1.4</f>
        <v>0</v>
      </c>
    </row>
    <row r="105" spans="2:20" x14ac:dyDescent="0.25">
      <c r="B105" s="69">
        <f>'Regional data'!B59</f>
        <v>0</v>
      </c>
      <c r="C105" s="141">
        <f>'Regional data'!F59*Prod_CR*Size_dist_LQ_CR</f>
        <v>0</v>
      </c>
      <c r="D105" s="142">
        <f>'Regional data'!G59*Prod_CR*Size_dist_MQ_CR</f>
        <v>0</v>
      </c>
      <c r="E105" s="142">
        <f>'Regional data'!H59*Prod_CR*Size_dist_SQ_CR</f>
        <v>0</v>
      </c>
      <c r="F105" s="71">
        <f>Handling_Const_EF_TSP_CR*('Regional data'!$U59/2.2)^1.3/(Moisture_CR*100/2)^1.4</f>
        <v>0</v>
      </c>
      <c r="G105" s="71">
        <f>Handling_Const_EF_PM10_CR*('Regional data'!$U59/2.2)^1.3/(Moisture_CR*100/2)^1.4</f>
        <v>0</v>
      </c>
      <c r="H105" s="72">
        <f>Handling_Const_EF_PM2.5_CR*('Regional data'!$U59/2.2)^1.3/(Moisture_CR*100/2)^1.4</f>
        <v>0</v>
      </c>
      <c r="I105" s="141">
        <f>'Regional data'!L59*Prod_SG*Size_dist_LQ_SG</f>
        <v>0</v>
      </c>
      <c r="J105" s="142">
        <f>'Regional data'!M59*Prod_SG*Size_dist_MQ_SG</f>
        <v>0</v>
      </c>
      <c r="K105" s="142">
        <f>'Regional data'!N59*Prod_SG*Size_dist_SQ_SG</f>
        <v>0</v>
      </c>
      <c r="L105" s="71">
        <f>Handling_Const_EF_TSP_SG*('Regional data'!$U59/2.2)^1.3/(Moisture_SG*100/2)^1.4</f>
        <v>0</v>
      </c>
      <c r="M105" s="71">
        <f>Handling_Const_EF_PM10_SG*('Regional data'!$U59/2.2)^1.3/(Moisture_SG*100/2)^1.4</f>
        <v>0</v>
      </c>
      <c r="N105" s="73">
        <f>Handling_Const_EF_PM2.5_SG*('Regional data'!$U59/2.2)^1.3/(Moisture_SG*100/2)^1.4</f>
        <v>0</v>
      </c>
      <c r="O105" s="141">
        <f>'Regional data'!R59*Prod_RA*Size_dist_LQ_RA</f>
        <v>0</v>
      </c>
      <c r="P105" s="142">
        <f>'Regional data'!S59*Prod_RA*Size_dist_MQ_RA</f>
        <v>0</v>
      </c>
      <c r="Q105" s="142">
        <f>'Regional data'!T59*Prod_RA*Size_dist_SQ_RA</f>
        <v>0</v>
      </c>
      <c r="R105" s="71">
        <f>Handling_Const_EF_TSP_RA*('Regional data'!$U59/2.2)^1.3/(Moisture_RA*100/2)^1.4</f>
        <v>0</v>
      </c>
      <c r="S105" s="71">
        <f>Handling_Const_EF_PM10_RA*('Regional data'!$U59/2.2)^1.3/(Moisture_RA*100/2)^1.4</f>
        <v>0</v>
      </c>
      <c r="T105" s="73">
        <f>Handling_Const_EF_PM2.5_RA*('Regional data'!$U59/2.2)^1.3/(Moisture_RA*100/2)^1.4</f>
        <v>0</v>
      </c>
    </row>
    <row r="106" spans="2:20" x14ac:dyDescent="0.25">
      <c r="B106" s="69">
        <f>'Regional data'!B60</f>
        <v>0</v>
      </c>
      <c r="C106" s="141">
        <f>'Regional data'!F60*Prod_CR*Size_dist_LQ_CR</f>
        <v>0</v>
      </c>
      <c r="D106" s="142">
        <f>'Regional data'!G60*Prod_CR*Size_dist_MQ_CR</f>
        <v>0</v>
      </c>
      <c r="E106" s="142">
        <f>'Regional data'!H60*Prod_CR*Size_dist_SQ_CR</f>
        <v>0</v>
      </c>
      <c r="F106" s="71">
        <f>Handling_Const_EF_TSP_CR*('Regional data'!$U60/2.2)^1.3/(Moisture_CR*100/2)^1.4</f>
        <v>0</v>
      </c>
      <c r="G106" s="71">
        <f>Handling_Const_EF_PM10_CR*('Regional data'!$U60/2.2)^1.3/(Moisture_CR*100/2)^1.4</f>
        <v>0</v>
      </c>
      <c r="H106" s="72">
        <f>Handling_Const_EF_PM2.5_CR*('Regional data'!$U60/2.2)^1.3/(Moisture_CR*100/2)^1.4</f>
        <v>0</v>
      </c>
      <c r="I106" s="141">
        <f>'Regional data'!L60*Prod_SG*Size_dist_LQ_SG</f>
        <v>0</v>
      </c>
      <c r="J106" s="142">
        <f>'Regional data'!M60*Prod_SG*Size_dist_MQ_SG</f>
        <v>0</v>
      </c>
      <c r="K106" s="142">
        <f>'Regional data'!N60*Prod_SG*Size_dist_SQ_SG</f>
        <v>0</v>
      </c>
      <c r="L106" s="71">
        <f>Handling_Const_EF_TSP_SG*('Regional data'!$U60/2.2)^1.3/(Moisture_SG*100/2)^1.4</f>
        <v>0</v>
      </c>
      <c r="M106" s="71">
        <f>Handling_Const_EF_PM10_SG*('Regional data'!$U60/2.2)^1.3/(Moisture_SG*100/2)^1.4</f>
        <v>0</v>
      </c>
      <c r="N106" s="73">
        <f>Handling_Const_EF_PM2.5_SG*('Regional data'!$U60/2.2)^1.3/(Moisture_SG*100/2)^1.4</f>
        <v>0</v>
      </c>
      <c r="O106" s="141">
        <f>'Regional data'!R60*Prod_RA*Size_dist_LQ_RA</f>
        <v>0</v>
      </c>
      <c r="P106" s="142">
        <f>'Regional data'!S60*Prod_RA*Size_dist_MQ_RA</f>
        <v>0</v>
      </c>
      <c r="Q106" s="142">
        <f>'Regional data'!T60*Prod_RA*Size_dist_SQ_RA</f>
        <v>0</v>
      </c>
      <c r="R106" s="71">
        <f>Handling_Const_EF_TSP_RA*('Regional data'!$U60/2.2)^1.3/(Moisture_RA*100/2)^1.4</f>
        <v>0</v>
      </c>
      <c r="S106" s="71">
        <f>Handling_Const_EF_PM10_RA*('Regional data'!$U60/2.2)^1.3/(Moisture_RA*100/2)^1.4</f>
        <v>0</v>
      </c>
      <c r="T106" s="73">
        <f>Handling_Const_EF_PM2.5_RA*('Regional data'!$U60/2.2)^1.3/(Moisture_RA*100/2)^1.4</f>
        <v>0</v>
      </c>
    </row>
    <row r="107" spans="2:20" x14ac:dyDescent="0.25">
      <c r="B107" s="69">
        <f>'Regional data'!B61</f>
        <v>0</v>
      </c>
      <c r="C107" s="141">
        <f>'Regional data'!F61*Prod_CR*Size_dist_LQ_CR</f>
        <v>0</v>
      </c>
      <c r="D107" s="142">
        <f>'Regional data'!G61*Prod_CR*Size_dist_MQ_CR</f>
        <v>0</v>
      </c>
      <c r="E107" s="142">
        <f>'Regional data'!H61*Prod_CR*Size_dist_SQ_CR</f>
        <v>0</v>
      </c>
      <c r="F107" s="71">
        <f>Handling_Const_EF_TSP_CR*('Regional data'!$U61/2.2)^1.3/(Moisture_CR*100/2)^1.4</f>
        <v>0</v>
      </c>
      <c r="G107" s="71">
        <f>Handling_Const_EF_PM10_CR*('Regional data'!$U61/2.2)^1.3/(Moisture_CR*100/2)^1.4</f>
        <v>0</v>
      </c>
      <c r="H107" s="72">
        <f>Handling_Const_EF_PM2.5_CR*('Regional data'!$U61/2.2)^1.3/(Moisture_CR*100/2)^1.4</f>
        <v>0</v>
      </c>
      <c r="I107" s="141">
        <f>'Regional data'!L61*Prod_SG*Size_dist_LQ_SG</f>
        <v>0</v>
      </c>
      <c r="J107" s="142">
        <f>'Regional data'!M61*Prod_SG*Size_dist_MQ_SG</f>
        <v>0</v>
      </c>
      <c r="K107" s="142">
        <f>'Regional data'!N61*Prod_SG*Size_dist_SQ_SG</f>
        <v>0</v>
      </c>
      <c r="L107" s="71">
        <f>Handling_Const_EF_TSP_SG*('Regional data'!$U61/2.2)^1.3/(Moisture_SG*100/2)^1.4</f>
        <v>0</v>
      </c>
      <c r="M107" s="71">
        <f>Handling_Const_EF_PM10_SG*('Regional data'!$U61/2.2)^1.3/(Moisture_SG*100/2)^1.4</f>
        <v>0</v>
      </c>
      <c r="N107" s="73">
        <f>Handling_Const_EF_PM2.5_SG*('Regional data'!$U61/2.2)^1.3/(Moisture_SG*100/2)^1.4</f>
        <v>0</v>
      </c>
      <c r="O107" s="141">
        <f>'Regional data'!R61*Prod_RA*Size_dist_LQ_RA</f>
        <v>0</v>
      </c>
      <c r="P107" s="142">
        <f>'Regional data'!S61*Prod_RA*Size_dist_MQ_RA</f>
        <v>0</v>
      </c>
      <c r="Q107" s="142">
        <f>'Regional data'!T61*Prod_RA*Size_dist_SQ_RA</f>
        <v>0</v>
      </c>
      <c r="R107" s="71">
        <f>Handling_Const_EF_TSP_RA*('Regional data'!$U61/2.2)^1.3/(Moisture_RA*100/2)^1.4</f>
        <v>0</v>
      </c>
      <c r="S107" s="71">
        <f>Handling_Const_EF_PM10_RA*('Regional data'!$U61/2.2)^1.3/(Moisture_RA*100/2)^1.4</f>
        <v>0</v>
      </c>
      <c r="T107" s="73">
        <f>Handling_Const_EF_PM2.5_RA*('Regional data'!$U61/2.2)^1.3/(Moisture_RA*100/2)^1.4</f>
        <v>0</v>
      </c>
    </row>
    <row r="108" spans="2:20" x14ac:dyDescent="0.25">
      <c r="B108" s="69">
        <f>'Regional data'!B62</f>
        <v>0</v>
      </c>
      <c r="C108" s="141">
        <f>'Regional data'!F62*Prod_CR*Size_dist_LQ_CR</f>
        <v>0</v>
      </c>
      <c r="D108" s="142">
        <f>'Regional data'!G62*Prod_CR*Size_dist_MQ_CR</f>
        <v>0</v>
      </c>
      <c r="E108" s="142">
        <f>'Regional data'!H62*Prod_CR*Size_dist_SQ_CR</f>
        <v>0</v>
      </c>
      <c r="F108" s="71">
        <f>Handling_Const_EF_TSP_CR*('Regional data'!$U62/2.2)^1.3/(Moisture_CR*100/2)^1.4</f>
        <v>0</v>
      </c>
      <c r="G108" s="71">
        <f>Handling_Const_EF_PM10_CR*('Regional data'!$U62/2.2)^1.3/(Moisture_CR*100/2)^1.4</f>
        <v>0</v>
      </c>
      <c r="H108" s="72">
        <f>Handling_Const_EF_PM2.5_CR*('Regional data'!$U62/2.2)^1.3/(Moisture_CR*100/2)^1.4</f>
        <v>0</v>
      </c>
      <c r="I108" s="141">
        <f>'Regional data'!L62*Prod_SG*Size_dist_LQ_SG</f>
        <v>0</v>
      </c>
      <c r="J108" s="142">
        <f>'Regional data'!M62*Prod_SG*Size_dist_MQ_SG</f>
        <v>0</v>
      </c>
      <c r="K108" s="142">
        <f>'Regional data'!N62*Prod_SG*Size_dist_SQ_SG</f>
        <v>0</v>
      </c>
      <c r="L108" s="71">
        <f>Handling_Const_EF_TSP_SG*('Regional data'!$U62/2.2)^1.3/(Moisture_SG*100/2)^1.4</f>
        <v>0</v>
      </c>
      <c r="M108" s="71">
        <f>Handling_Const_EF_PM10_SG*('Regional data'!$U62/2.2)^1.3/(Moisture_SG*100/2)^1.4</f>
        <v>0</v>
      </c>
      <c r="N108" s="73">
        <f>Handling_Const_EF_PM2.5_SG*('Regional data'!$U62/2.2)^1.3/(Moisture_SG*100/2)^1.4</f>
        <v>0</v>
      </c>
      <c r="O108" s="141">
        <f>'Regional data'!R62*Prod_RA*Size_dist_LQ_RA</f>
        <v>0</v>
      </c>
      <c r="P108" s="142">
        <f>'Regional data'!S62*Prod_RA*Size_dist_MQ_RA</f>
        <v>0</v>
      </c>
      <c r="Q108" s="142">
        <f>'Regional data'!T62*Prod_RA*Size_dist_SQ_RA</f>
        <v>0</v>
      </c>
      <c r="R108" s="71">
        <f>Handling_Const_EF_TSP_RA*('Regional data'!$U62/2.2)^1.3/(Moisture_RA*100/2)^1.4</f>
        <v>0</v>
      </c>
      <c r="S108" s="71">
        <f>Handling_Const_EF_PM10_RA*('Regional data'!$U62/2.2)^1.3/(Moisture_RA*100/2)^1.4</f>
        <v>0</v>
      </c>
      <c r="T108" s="73">
        <f>Handling_Const_EF_PM2.5_RA*('Regional data'!$U62/2.2)^1.3/(Moisture_RA*100/2)^1.4</f>
        <v>0</v>
      </c>
    </row>
    <row r="109" spans="2:20" x14ac:dyDescent="0.25">
      <c r="B109" s="69">
        <f>'Regional data'!B63</f>
        <v>0</v>
      </c>
      <c r="C109" s="141">
        <f>'Regional data'!F63*Prod_CR*Size_dist_LQ_CR</f>
        <v>0</v>
      </c>
      <c r="D109" s="142">
        <f>'Regional data'!G63*Prod_CR*Size_dist_MQ_CR</f>
        <v>0</v>
      </c>
      <c r="E109" s="142">
        <f>'Regional data'!H63*Prod_CR*Size_dist_SQ_CR</f>
        <v>0</v>
      </c>
      <c r="F109" s="71">
        <f>Handling_Const_EF_TSP_CR*('Regional data'!$U63/2.2)^1.3/(Moisture_CR*100/2)^1.4</f>
        <v>0</v>
      </c>
      <c r="G109" s="71">
        <f>Handling_Const_EF_PM10_CR*('Regional data'!$U63/2.2)^1.3/(Moisture_CR*100/2)^1.4</f>
        <v>0</v>
      </c>
      <c r="H109" s="72">
        <f>Handling_Const_EF_PM2.5_CR*('Regional data'!$U63/2.2)^1.3/(Moisture_CR*100/2)^1.4</f>
        <v>0</v>
      </c>
      <c r="I109" s="141">
        <f>'Regional data'!L63*Prod_SG*Size_dist_LQ_SG</f>
        <v>0</v>
      </c>
      <c r="J109" s="142">
        <f>'Regional data'!M63*Prod_SG*Size_dist_MQ_SG</f>
        <v>0</v>
      </c>
      <c r="K109" s="142">
        <f>'Regional data'!N63*Prod_SG*Size_dist_SQ_SG</f>
        <v>0</v>
      </c>
      <c r="L109" s="71">
        <f>Handling_Const_EF_TSP_SG*('Regional data'!$U63/2.2)^1.3/(Moisture_SG*100/2)^1.4</f>
        <v>0</v>
      </c>
      <c r="M109" s="71">
        <f>Handling_Const_EF_PM10_SG*('Regional data'!$U63/2.2)^1.3/(Moisture_SG*100/2)^1.4</f>
        <v>0</v>
      </c>
      <c r="N109" s="73">
        <f>Handling_Const_EF_PM2.5_SG*('Regional data'!$U63/2.2)^1.3/(Moisture_SG*100/2)^1.4</f>
        <v>0</v>
      </c>
      <c r="O109" s="141">
        <f>'Regional data'!R63*Prod_RA*Size_dist_LQ_RA</f>
        <v>0</v>
      </c>
      <c r="P109" s="142">
        <f>'Regional data'!S63*Prod_RA*Size_dist_MQ_RA</f>
        <v>0</v>
      </c>
      <c r="Q109" s="142">
        <f>'Regional data'!T63*Prod_RA*Size_dist_SQ_RA</f>
        <v>0</v>
      </c>
      <c r="R109" s="71">
        <f>Handling_Const_EF_TSP_RA*('Regional data'!$U63/2.2)^1.3/(Moisture_RA*100/2)^1.4</f>
        <v>0</v>
      </c>
      <c r="S109" s="71">
        <f>Handling_Const_EF_PM10_RA*('Regional data'!$U63/2.2)^1.3/(Moisture_RA*100/2)^1.4</f>
        <v>0</v>
      </c>
      <c r="T109" s="73">
        <f>Handling_Const_EF_PM2.5_RA*('Regional data'!$U63/2.2)^1.3/(Moisture_RA*100/2)^1.4</f>
        <v>0</v>
      </c>
    </row>
    <row r="110" spans="2:20" x14ac:dyDescent="0.25">
      <c r="B110" s="69">
        <f>'Regional data'!B64</f>
        <v>0</v>
      </c>
      <c r="C110" s="141">
        <f>'Regional data'!F64*Prod_CR*Size_dist_LQ_CR</f>
        <v>0</v>
      </c>
      <c r="D110" s="142">
        <f>'Regional data'!G64*Prod_CR*Size_dist_MQ_CR</f>
        <v>0</v>
      </c>
      <c r="E110" s="142">
        <f>'Regional data'!H64*Prod_CR*Size_dist_SQ_CR</f>
        <v>0</v>
      </c>
      <c r="F110" s="71">
        <f>Handling_Const_EF_TSP_CR*('Regional data'!$U64/2.2)^1.3/(Moisture_CR*100/2)^1.4</f>
        <v>0</v>
      </c>
      <c r="G110" s="71">
        <f>Handling_Const_EF_PM10_CR*('Regional data'!$U64/2.2)^1.3/(Moisture_CR*100/2)^1.4</f>
        <v>0</v>
      </c>
      <c r="H110" s="72">
        <f>Handling_Const_EF_PM2.5_CR*('Regional data'!$U64/2.2)^1.3/(Moisture_CR*100/2)^1.4</f>
        <v>0</v>
      </c>
      <c r="I110" s="141">
        <f>'Regional data'!L64*Prod_SG*Size_dist_LQ_SG</f>
        <v>0</v>
      </c>
      <c r="J110" s="142">
        <f>'Regional data'!M64*Prod_SG*Size_dist_MQ_SG</f>
        <v>0</v>
      </c>
      <c r="K110" s="142">
        <f>'Regional data'!N64*Prod_SG*Size_dist_SQ_SG</f>
        <v>0</v>
      </c>
      <c r="L110" s="71">
        <f>Handling_Const_EF_TSP_SG*('Regional data'!$U64/2.2)^1.3/(Moisture_SG*100/2)^1.4</f>
        <v>0</v>
      </c>
      <c r="M110" s="71">
        <f>Handling_Const_EF_PM10_SG*('Regional data'!$U64/2.2)^1.3/(Moisture_SG*100/2)^1.4</f>
        <v>0</v>
      </c>
      <c r="N110" s="73">
        <f>Handling_Const_EF_PM2.5_SG*('Regional data'!$U64/2.2)^1.3/(Moisture_SG*100/2)^1.4</f>
        <v>0</v>
      </c>
      <c r="O110" s="141">
        <f>'Regional data'!R64*Prod_RA*Size_dist_LQ_RA</f>
        <v>0</v>
      </c>
      <c r="P110" s="142">
        <f>'Regional data'!S64*Prod_RA*Size_dist_MQ_RA</f>
        <v>0</v>
      </c>
      <c r="Q110" s="142">
        <f>'Regional data'!T64*Prod_RA*Size_dist_SQ_RA</f>
        <v>0</v>
      </c>
      <c r="R110" s="71">
        <f>Handling_Const_EF_TSP_RA*('Regional data'!$U64/2.2)^1.3/(Moisture_RA*100/2)^1.4</f>
        <v>0</v>
      </c>
      <c r="S110" s="71">
        <f>Handling_Const_EF_PM10_RA*('Regional data'!$U64/2.2)^1.3/(Moisture_RA*100/2)^1.4</f>
        <v>0</v>
      </c>
      <c r="T110" s="73">
        <f>Handling_Const_EF_PM2.5_RA*('Regional data'!$U64/2.2)^1.3/(Moisture_RA*100/2)^1.4</f>
        <v>0</v>
      </c>
    </row>
    <row r="111" spans="2:20" x14ac:dyDescent="0.25">
      <c r="B111" s="69">
        <f>'Regional data'!B65</f>
        <v>0</v>
      </c>
      <c r="C111" s="141">
        <f>'Regional data'!F65*Prod_CR*Size_dist_LQ_CR</f>
        <v>0</v>
      </c>
      <c r="D111" s="142">
        <f>'Regional data'!G65*Prod_CR*Size_dist_MQ_CR</f>
        <v>0</v>
      </c>
      <c r="E111" s="142">
        <f>'Regional data'!H65*Prod_CR*Size_dist_SQ_CR</f>
        <v>0</v>
      </c>
      <c r="F111" s="71">
        <f>Handling_Const_EF_TSP_CR*('Regional data'!$U65/2.2)^1.3/(Moisture_CR*100/2)^1.4</f>
        <v>0</v>
      </c>
      <c r="G111" s="71">
        <f>Handling_Const_EF_PM10_CR*('Regional data'!$U65/2.2)^1.3/(Moisture_CR*100/2)^1.4</f>
        <v>0</v>
      </c>
      <c r="H111" s="72">
        <f>Handling_Const_EF_PM2.5_CR*('Regional data'!$U65/2.2)^1.3/(Moisture_CR*100/2)^1.4</f>
        <v>0</v>
      </c>
      <c r="I111" s="141">
        <f>'Regional data'!L65*Prod_SG*Size_dist_LQ_SG</f>
        <v>0</v>
      </c>
      <c r="J111" s="142">
        <f>'Regional data'!M65*Prod_SG*Size_dist_MQ_SG</f>
        <v>0</v>
      </c>
      <c r="K111" s="142">
        <f>'Regional data'!N65*Prod_SG*Size_dist_SQ_SG</f>
        <v>0</v>
      </c>
      <c r="L111" s="71">
        <f>Handling_Const_EF_TSP_SG*('Regional data'!$U65/2.2)^1.3/(Moisture_SG*100/2)^1.4</f>
        <v>0</v>
      </c>
      <c r="M111" s="71">
        <f>Handling_Const_EF_PM10_SG*('Regional data'!$U65/2.2)^1.3/(Moisture_SG*100/2)^1.4</f>
        <v>0</v>
      </c>
      <c r="N111" s="73">
        <f>Handling_Const_EF_PM2.5_SG*('Regional data'!$U65/2.2)^1.3/(Moisture_SG*100/2)^1.4</f>
        <v>0</v>
      </c>
      <c r="O111" s="141">
        <f>'Regional data'!R65*Prod_RA*Size_dist_LQ_RA</f>
        <v>0</v>
      </c>
      <c r="P111" s="142">
        <f>'Regional data'!S65*Prod_RA*Size_dist_MQ_RA</f>
        <v>0</v>
      </c>
      <c r="Q111" s="142">
        <f>'Regional data'!T65*Prod_RA*Size_dist_SQ_RA</f>
        <v>0</v>
      </c>
      <c r="R111" s="71">
        <f>Handling_Const_EF_TSP_RA*('Regional data'!$U65/2.2)^1.3/(Moisture_RA*100/2)^1.4</f>
        <v>0</v>
      </c>
      <c r="S111" s="71">
        <f>Handling_Const_EF_PM10_RA*('Regional data'!$U65/2.2)^1.3/(Moisture_RA*100/2)^1.4</f>
        <v>0</v>
      </c>
      <c r="T111" s="73">
        <f>Handling_Const_EF_PM2.5_RA*('Regional data'!$U65/2.2)^1.3/(Moisture_RA*100/2)^1.4</f>
        <v>0</v>
      </c>
    </row>
    <row r="112" spans="2:20" x14ac:dyDescent="0.25">
      <c r="B112" s="69">
        <f>'Regional data'!B66</f>
        <v>0</v>
      </c>
      <c r="C112" s="141">
        <f>'Regional data'!F66*Prod_CR*Size_dist_LQ_CR</f>
        <v>0</v>
      </c>
      <c r="D112" s="142">
        <f>'Regional data'!G66*Prod_CR*Size_dist_MQ_CR</f>
        <v>0</v>
      </c>
      <c r="E112" s="142">
        <f>'Regional data'!H66*Prod_CR*Size_dist_SQ_CR</f>
        <v>0</v>
      </c>
      <c r="F112" s="71">
        <f>Handling_Const_EF_TSP_CR*('Regional data'!$U66/2.2)^1.3/(Moisture_CR*100/2)^1.4</f>
        <v>0</v>
      </c>
      <c r="G112" s="71">
        <f>Handling_Const_EF_PM10_CR*('Regional data'!$U66/2.2)^1.3/(Moisture_CR*100/2)^1.4</f>
        <v>0</v>
      </c>
      <c r="H112" s="72">
        <f>Handling_Const_EF_PM2.5_CR*('Regional data'!$U66/2.2)^1.3/(Moisture_CR*100/2)^1.4</f>
        <v>0</v>
      </c>
      <c r="I112" s="141">
        <f>'Regional data'!L66*Prod_SG*Size_dist_LQ_SG</f>
        <v>0</v>
      </c>
      <c r="J112" s="142">
        <f>'Regional data'!M66*Prod_SG*Size_dist_MQ_SG</f>
        <v>0</v>
      </c>
      <c r="K112" s="142">
        <f>'Regional data'!N66*Prod_SG*Size_dist_SQ_SG</f>
        <v>0</v>
      </c>
      <c r="L112" s="71">
        <f>Handling_Const_EF_TSP_SG*('Regional data'!$U66/2.2)^1.3/(Moisture_SG*100/2)^1.4</f>
        <v>0</v>
      </c>
      <c r="M112" s="71">
        <f>Handling_Const_EF_PM10_SG*('Regional data'!$U66/2.2)^1.3/(Moisture_SG*100/2)^1.4</f>
        <v>0</v>
      </c>
      <c r="N112" s="73">
        <f>Handling_Const_EF_PM2.5_SG*('Regional data'!$U66/2.2)^1.3/(Moisture_SG*100/2)^1.4</f>
        <v>0</v>
      </c>
      <c r="O112" s="141">
        <f>'Regional data'!R66*Prod_RA*Size_dist_LQ_RA</f>
        <v>0</v>
      </c>
      <c r="P112" s="142">
        <f>'Regional data'!S66*Prod_RA*Size_dist_MQ_RA</f>
        <v>0</v>
      </c>
      <c r="Q112" s="142">
        <f>'Regional data'!T66*Prod_RA*Size_dist_SQ_RA</f>
        <v>0</v>
      </c>
      <c r="R112" s="71">
        <f>Handling_Const_EF_TSP_RA*('Regional data'!$U66/2.2)^1.3/(Moisture_RA*100/2)^1.4</f>
        <v>0</v>
      </c>
      <c r="S112" s="71">
        <f>Handling_Const_EF_PM10_RA*('Regional data'!$U66/2.2)^1.3/(Moisture_RA*100/2)^1.4</f>
        <v>0</v>
      </c>
      <c r="T112" s="73">
        <f>Handling_Const_EF_PM2.5_RA*('Regional data'!$U66/2.2)^1.3/(Moisture_RA*100/2)^1.4</f>
        <v>0</v>
      </c>
    </row>
    <row r="113" spans="2:20" x14ac:dyDescent="0.25">
      <c r="B113" s="69">
        <f>'Regional data'!B67</f>
        <v>0</v>
      </c>
      <c r="C113" s="141">
        <f>'Regional data'!F67*Prod_CR*Size_dist_LQ_CR</f>
        <v>0</v>
      </c>
      <c r="D113" s="142">
        <f>'Regional data'!G67*Prod_CR*Size_dist_MQ_CR</f>
        <v>0</v>
      </c>
      <c r="E113" s="142">
        <f>'Regional data'!H67*Prod_CR*Size_dist_SQ_CR</f>
        <v>0</v>
      </c>
      <c r="F113" s="71">
        <f>Handling_Const_EF_TSP_CR*('Regional data'!$U67/2.2)^1.3/(Moisture_CR*100/2)^1.4</f>
        <v>0</v>
      </c>
      <c r="G113" s="71">
        <f>Handling_Const_EF_PM10_CR*('Regional data'!$U67/2.2)^1.3/(Moisture_CR*100/2)^1.4</f>
        <v>0</v>
      </c>
      <c r="H113" s="72">
        <f>Handling_Const_EF_PM2.5_CR*('Regional data'!$U67/2.2)^1.3/(Moisture_CR*100/2)^1.4</f>
        <v>0</v>
      </c>
      <c r="I113" s="141">
        <f>'Regional data'!L67*Prod_SG*Size_dist_LQ_SG</f>
        <v>0</v>
      </c>
      <c r="J113" s="142">
        <f>'Regional data'!M67*Prod_SG*Size_dist_MQ_SG</f>
        <v>0</v>
      </c>
      <c r="K113" s="142">
        <f>'Regional data'!N67*Prod_SG*Size_dist_SQ_SG</f>
        <v>0</v>
      </c>
      <c r="L113" s="71">
        <f>Handling_Const_EF_TSP_SG*('Regional data'!$U67/2.2)^1.3/(Moisture_SG*100/2)^1.4</f>
        <v>0</v>
      </c>
      <c r="M113" s="71">
        <f>Handling_Const_EF_PM10_SG*('Regional data'!$U67/2.2)^1.3/(Moisture_SG*100/2)^1.4</f>
        <v>0</v>
      </c>
      <c r="N113" s="73">
        <f>Handling_Const_EF_PM2.5_SG*('Regional data'!$U67/2.2)^1.3/(Moisture_SG*100/2)^1.4</f>
        <v>0</v>
      </c>
      <c r="O113" s="141">
        <f>'Regional data'!R67*Prod_RA*Size_dist_LQ_RA</f>
        <v>0</v>
      </c>
      <c r="P113" s="142">
        <f>'Regional data'!S67*Prod_RA*Size_dist_MQ_RA</f>
        <v>0</v>
      </c>
      <c r="Q113" s="142">
        <f>'Regional data'!T67*Prod_RA*Size_dist_SQ_RA</f>
        <v>0</v>
      </c>
      <c r="R113" s="71">
        <f>Handling_Const_EF_TSP_RA*('Regional data'!$U67/2.2)^1.3/(Moisture_RA*100/2)^1.4</f>
        <v>0</v>
      </c>
      <c r="S113" s="71">
        <f>Handling_Const_EF_PM10_RA*('Regional data'!$U67/2.2)^1.3/(Moisture_RA*100/2)^1.4</f>
        <v>0</v>
      </c>
      <c r="T113" s="73">
        <f>Handling_Const_EF_PM2.5_RA*('Regional data'!$U67/2.2)^1.3/(Moisture_RA*100/2)^1.4</f>
        <v>0</v>
      </c>
    </row>
    <row r="114" spans="2:20" x14ac:dyDescent="0.25">
      <c r="B114" s="69">
        <f>'Regional data'!B68</f>
        <v>0</v>
      </c>
      <c r="C114" s="141">
        <f>'Regional data'!F68*Prod_CR*Size_dist_LQ_CR</f>
        <v>0</v>
      </c>
      <c r="D114" s="142">
        <f>'Regional data'!G68*Prod_CR*Size_dist_MQ_CR</f>
        <v>0</v>
      </c>
      <c r="E114" s="142">
        <f>'Regional data'!H68*Prod_CR*Size_dist_SQ_CR</f>
        <v>0</v>
      </c>
      <c r="F114" s="71">
        <f>Handling_Const_EF_TSP_CR*('Regional data'!$U68/2.2)^1.3/(Moisture_CR*100/2)^1.4</f>
        <v>0</v>
      </c>
      <c r="G114" s="71">
        <f>Handling_Const_EF_PM10_CR*('Regional data'!$U68/2.2)^1.3/(Moisture_CR*100/2)^1.4</f>
        <v>0</v>
      </c>
      <c r="H114" s="72">
        <f>Handling_Const_EF_PM2.5_CR*('Regional data'!$U68/2.2)^1.3/(Moisture_CR*100/2)^1.4</f>
        <v>0</v>
      </c>
      <c r="I114" s="141">
        <f>'Regional data'!L68*Prod_SG*Size_dist_LQ_SG</f>
        <v>0</v>
      </c>
      <c r="J114" s="142">
        <f>'Regional data'!M68*Prod_SG*Size_dist_MQ_SG</f>
        <v>0</v>
      </c>
      <c r="K114" s="142">
        <f>'Regional data'!N68*Prod_SG*Size_dist_SQ_SG</f>
        <v>0</v>
      </c>
      <c r="L114" s="71">
        <f>Handling_Const_EF_TSP_SG*('Regional data'!$U68/2.2)^1.3/(Moisture_SG*100/2)^1.4</f>
        <v>0</v>
      </c>
      <c r="M114" s="71">
        <f>Handling_Const_EF_PM10_SG*('Regional data'!$U68/2.2)^1.3/(Moisture_SG*100/2)^1.4</f>
        <v>0</v>
      </c>
      <c r="N114" s="73">
        <f>Handling_Const_EF_PM2.5_SG*('Regional data'!$U68/2.2)^1.3/(Moisture_SG*100/2)^1.4</f>
        <v>0</v>
      </c>
      <c r="O114" s="141">
        <f>'Regional data'!R68*Prod_RA*Size_dist_LQ_RA</f>
        <v>0</v>
      </c>
      <c r="P114" s="142">
        <f>'Regional data'!S68*Prod_RA*Size_dist_MQ_RA</f>
        <v>0</v>
      </c>
      <c r="Q114" s="142">
        <f>'Regional data'!T68*Prod_RA*Size_dist_SQ_RA</f>
        <v>0</v>
      </c>
      <c r="R114" s="71">
        <f>Handling_Const_EF_TSP_RA*('Regional data'!$U68/2.2)^1.3/(Moisture_RA*100/2)^1.4</f>
        <v>0</v>
      </c>
      <c r="S114" s="71">
        <f>Handling_Const_EF_PM10_RA*('Regional data'!$U68/2.2)^1.3/(Moisture_RA*100/2)^1.4</f>
        <v>0</v>
      </c>
      <c r="T114" s="73">
        <f>Handling_Const_EF_PM2.5_RA*('Regional data'!$U68/2.2)^1.3/(Moisture_RA*100/2)^1.4</f>
        <v>0</v>
      </c>
    </row>
    <row r="115" spans="2:20" x14ac:dyDescent="0.25">
      <c r="B115" s="69">
        <f>'Regional data'!B69</f>
        <v>0</v>
      </c>
      <c r="C115" s="141">
        <f>'Regional data'!F69*Prod_CR*Size_dist_LQ_CR</f>
        <v>0</v>
      </c>
      <c r="D115" s="142">
        <f>'Regional data'!G69*Prod_CR*Size_dist_MQ_CR</f>
        <v>0</v>
      </c>
      <c r="E115" s="142">
        <f>'Regional data'!H69*Prod_CR*Size_dist_SQ_CR</f>
        <v>0</v>
      </c>
      <c r="F115" s="71">
        <f>Handling_Const_EF_TSP_CR*('Regional data'!$U69/2.2)^1.3/(Moisture_CR*100/2)^1.4</f>
        <v>0</v>
      </c>
      <c r="G115" s="71">
        <f>Handling_Const_EF_PM10_CR*('Regional data'!$U69/2.2)^1.3/(Moisture_CR*100/2)^1.4</f>
        <v>0</v>
      </c>
      <c r="H115" s="72">
        <f>Handling_Const_EF_PM2.5_CR*('Regional data'!$U69/2.2)^1.3/(Moisture_CR*100/2)^1.4</f>
        <v>0</v>
      </c>
      <c r="I115" s="141">
        <f>'Regional data'!L69*Prod_SG*Size_dist_LQ_SG</f>
        <v>0</v>
      </c>
      <c r="J115" s="142">
        <f>'Regional data'!M69*Prod_SG*Size_dist_MQ_SG</f>
        <v>0</v>
      </c>
      <c r="K115" s="142">
        <f>'Regional data'!N69*Prod_SG*Size_dist_SQ_SG</f>
        <v>0</v>
      </c>
      <c r="L115" s="71">
        <f>Handling_Const_EF_TSP_SG*('Regional data'!$U69/2.2)^1.3/(Moisture_SG*100/2)^1.4</f>
        <v>0</v>
      </c>
      <c r="M115" s="71">
        <f>Handling_Const_EF_PM10_SG*('Regional data'!$U69/2.2)^1.3/(Moisture_SG*100/2)^1.4</f>
        <v>0</v>
      </c>
      <c r="N115" s="73">
        <f>Handling_Const_EF_PM2.5_SG*('Regional data'!$U69/2.2)^1.3/(Moisture_SG*100/2)^1.4</f>
        <v>0</v>
      </c>
      <c r="O115" s="141">
        <f>'Regional data'!R69*Prod_RA*Size_dist_LQ_RA</f>
        <v>0</v>
      </c>
      <c r="P115" s="142">
        <f>'Regional data'!S69*Prod_RA*Size_dist_MQ_RA</f>
        <v>0</v>
      </c>
      <c r="Q115" s="142">
        <f>'Regional data'!T69*Prod_RA*Size_dist_SQ_RA</f>
        <v>0</v>
      </c>
      <c r="R115" s="71">
        <f>Handling_Const_EF_TSP_RA*('Regional data'!$U69/2.2)^1.3/(Moisture_RA*100/2)^1.4</f>
        <v>0</v>
      </c>
      <c r="S115" s="71">
        <f>Handling_Const_EF_PM10_RA*('Regional data'!$U69/2.2)^1.3/(Moisture_RA*100/2)^1.4</f>
        <v>0</v>
      </c>
      <c r="T115" s="73">
        <f>Handling_Const_EF_PM2.5_RA*('Regional data'!$U69/2.2)^1.3/(Moisture_RA*100/2)^1.4</f>
        <v>0</v>
      </c>
    </row>
    <row r="116" spans="2:20" x14ac:dyDescent="0.25">
      <c r="B116" s="69">
        <f>'Regional data'!B70</f>
        <v>0</v>
      </c>
      <c r="C116" s="141">
        <f>'Regional data'!F70*Prod_CR*Size_dist_LQ_CR</f>
        <v>0</v>
      </c>
      <c r="D116" s="142">
        <f>'Regional data'!G70*Prod_CR*Size_dist_MQ_CR</f>
        <v>0</v>
      </c>
      <c r="E116" s="142">
        <f>'Regional data'!H70*Prod_CR*Size_dist_SQ_CR</f>
        <v>0</v>
      </c>
      <c r="F116" s="71">
        <f>Handling_Const_EF_TSP_CR*('Regional data'!$U70/2.2)^1.3/(Moisture_CR*100/2)^1.4</f>
        <v>0</v>
      </c>
      <c r="G116" s="71">
        <f>Handling_Const_EF_PM10_CR*('Regional data'!$U70/2.2)^1.3/(Moisture_CR*100/2)^1.4</f>
        <v>0</v>
      </c>
      <c r="H116" s="72">
        <f>Handling_Const_EF_PM2.5_CR*('Regional data'!$U70/2.2)^1.3/(Moisture_CR*100/2)^1.4</f>
        <v>0</v>
      </c>
      <c r="I116" s="141">
        <f>'Regional data'!L70*Prod_SG*Size_dist_LQ_SG</f>
        <v>0</v>
      </c>
      <c r="J116" s="142">
        <f>'Regional data'!M70*Prod_SG*Size_dist_MQ_SG</f>
        <v>0</v>
      </c>
      <c r="K116" s="142">
        <f>'Regional data'!N70*Prod_SG*Size_dist_SQ_SG</f>
        <v>0</v>
      </c>
      <c r="L116" s="71">
        <f>Handling_Const_EF_TSP_SG*('Regional data'!$U70/2.2)^1.3/(Moisture_SG*100/2)^1.4</f>
        <v>0</v>
      </c>
      <c r="M116" s="71">
        <f>Handling_Const_EF_PM10_SG*('Regional data'!$U70/2.2)^1.3/(Moisture_SG*100/2)^1.4</f>
        <v>0</v>
      </c>
      <c r="N116" s="73">
        <f>Handling_Const_EF_PM2.5_SG*('Regional data'!$U70/2.2)^1.3/(Moisture_SG*100/2)^1.4</f>
        <v>0</v>
      </c>
      <c r="O116" s="141">
        <f>'Regional data'!R70*Prod_RA*Size_dist_LQ_RA</f>
        <v>0</v>
      </c>
      <c r="P116" s="142">
        <f>'Regional data'!S70*Prod_RA*Size_dist_MQ_RA</f>
        <v>0</v>
      </c>
      <c r="Q116" s="142">
        <f>'Regional data'!T70*Prod_RA*Size_dist_SQ_RA</f>
        <v>0</v>
      </c>
      <c r="R116" s="71">
        <f>Handling_Const_EF_TSP_RA*('Regional data'!$U70/2.2)^1.3/(Moisture_RA*100/2)^1.4</f>
        <v>0</v>
      </c>
      <c r="S116" s="71">
        <f>Handling_Const_EF_PM10_RA*('Regional data'!$U70/2.2)^1.3/(Moisture_RA*100/2)^1.4</f>
        <v>0</v>
      </c>
      <c r="T116" s="73">
        <f>Handling_Const_EF_PM2.5_RA*('Regional data'!$U70/2.2)^1.3/(Moisture_RA*100/2)^1.4</f>
        <v>0</v>
      </c>
    </row>
    <row r="117" spans="2:20" x14ac:dyDescent="0.25">
      <c r="B117" s="69">
        <f>'Regional data'!B71</f>
        <v>0</v>
      </c>
      <c r="C117" s="141">
        <f>'Regional data'!F71*Prod_CR*Size_dist_LQ_CR</f>
        <v>0</v>
      </c>
      <c r="D117" s="142">
        <f>'Regional data'!G71*Prod_CR*Size_dist_MQ_CR</f>
        <v>0</v>
      </c>
      <c r="E117" s="142">
        <f>'Regional data'!H71*Prod_CR*Size_dist_SQ_CR</f>
        <v>0</v>
      </c>
      <c r="F117" s="71">
        <f>Handling_Const_EF_TSP_CR*('Regional data'!$U71/2.2)^1.3/(Moisture_CR*100/2)^1.4</f>
        <v>0</v>
      </c>
      <c r="G117" s="71">
        <f>Handling_Const_EF_PM10_CR*('Regional data'!$U71/2.2)^1.3/(Moisture_CR*100/2)^1.4</f>
        <v>0</v>
      </c>
      <c r="H117" s="72">
        <f>Handling_Const_EF_PM2.5_CR*('Regional data'!$U71/2.2)^1.3/(Moisture_CR*100/2)^1.4</f>
        <v>0</v>
      </c>
      <c r="I117" s="141">
        <f>'Regional data'!L71*Prod_SG*Size_dist_LQ_SG</f>
        <v>0</v>
      </c>
      <c r="J117" s="142">
        <f>'Regional data'!M71*Prod_SG*Size_dist_MQ_SG</f>
        <v>0</v>
      </c>
      <c r="K117" s="142">
        <f>'Regional data'!N71*Prod_SG*Size_dist_SQ_SG</f>
        <v>0</v>
      </c>
      <c r="L117" s="71">
        <f>Handling_Const_EF_TSP_SG*('Regional data'!$U71/2.2)^1.3/(Moisture_SG*100/2)^1.4</f>
        <v>0</v>
      </c>
      <c r="M117" s="71">
        <f>Handling_Const_EF_PM10_SG*('Regional data'!$U71/2.2)^1.3/(Moisture_SG*100/2)^1.4</f>
        <v>0</v>
      </c>
      <c r="N117" s="73">
        <f>Handling_Const_EF_PM2.5_SG*('Regional data'!$U71/2.2)^1.3/(Moisture_SG*100/2)^1.4</f>
        <v>0</v>
      </c>
      <c r="O117" s="141">
        <f>'Regional data'!R71*Prod_RA*Size_dist_LQ_RA</f>
        <v>0</v>
      </c>
      <c r="P117" s="142">
        <f>'Regional data'!S71*Prod_RA*Size_dist_MQ_RA</f>
        <v>0</v>
      </c>
      <c r="Q117" s="142">
        <f>'Regional data'!T71*Prod_RA*Size_dist_SQ_RA</f>
        <v>0</v>
      </c>
      <c r="R117" s="71">
        <f>Handling_Const_EF_TSP_RA*('Regional data'!$U71/2.2)^1.3/(Moisture_RA*100/2)^1.4</f>
        <v>0</v>
      </c>
      <c r="S117" s="71">
        <f>Handling_Const_EF_PM10_RA*('Regional data'!$U71/2.2)^1.3/(Moisture_RA*100/2)^1.4</f>
        <v>0</v>
      </c>
      <c r="T117" s="73">
        <f>Handling_Const_EF_PM2.5_RA*('Regional data'!$U71/2.2)^1.3/(Moisture_RA*100/2)^1.4</f>
        <v>0</v>
      </c>
    </row>
    <row r="118" spans="2:20" x14ac:dyDescent="0.25">
      <c r="B118" s="69">
        <f>'Regional data'!B72</f>
        <v>0</v>
      </c>
      <c r="C118" s="141">
        <f>'Regional data'!F72*Prod_CR*Size_dist_LQ_CR</f>
        <v>0</v>
      </c>
      <c r="D118" s="142">
        <f>'Regional data'!G72*Prod_CR*Size_dist_MQ_CR</f>
        <v>0</v>
      </c>
      <c r="E118" s="142">
        <f>'Regional data'!H72*Prod_CR*Size_dist_SQ_CR</f>
        <v>0</v>
      </c>
      <c r="F118" s="71">
        <f>Handling_Const_EF_TSP_CR*('Regional data'!$U72/2.2)^1.3/(Moisture_CR*100/2)^1.4</f>
        <v>0</v>
      </c>
      <c r="G118" s="71">
        <f>Handling_Const_EF_PM10_CR*('Regional data'!$U72/2.2)^1.3/(Moisture_CR*100/2)^1.4</f>
        <v>0</v>
      </c>
      <c r="H118" s="72">
        <f>Handling_Const_EF_PM2.5_CR*('Regional data'!$U72/2.2)^1.3/(Moisture_CR*100/2)^1.4</f>
        <v>0</v>
      </c>
      <c r="I118" s="141">
        <f>'Regional data'!L72*Prod_SG*Size_dist_LQ_SG</f>
        <v>0</v>
      </c>
      <c r="J118" s="142">
        <f>'Regional data'!M72*Prod_SG*Size_dist_MQ_SG</f>
        <v>0</v>
      </c>
      <c r="K118" s="142">
        <f>'Regional data'!N72*Prod_SG*Size_dist_SQ_SG</f>
        <v>0</v>
      </c>
      <c r="L118" s="71">
        <f>Handling_Const_EF_TSP_SG*('Regional data'!$U72/2.2)^1.3/(Moisture_SG*100/2)^1.4</f>
        <v>0</v>
      </c>
      <c r="M118" s="71">
        <f>Handling_Const_EF_PM10_SG*('Regional data'!$U72/2.2)^1.3/(Moisture_SG*100/2)^1.4</f>
        <v>0</v>
      </c>
      <c r="N118" s="73">
        <f>Handling_Const_EF_PM2.5_SG*('Regional data'!$U72/2.2)^1.3/(Moisture_SG*100/2)^1.4</f>
        <v>0</v>
      </c>
      <c r="O118" s="141">
        <f>'Regional data'!R72*Prod_RA*Size_dist_LQ_RA</f>
        <v>0</v>
      </c>
      <c r="P118" s="142">
        <f>'Regional data'!S72*Prod_RA*Size_dist_MQ_RA</f>
        <v>0</v>
      </c>
      <c r="Q118" s="142">
        <f>'Regional data'!T72*Prod_RA*Size_dist_SQ_RA</f>
        <v>0</v>
      </c>
      <c r="R118" s="71">
        <f>Handling_Const_EF_TSP_RA*('Regional data'!$U72/2.2)^1.3/(Moisture_RA*100/2)^1.4</f>
        <v>0</v>
      </c>
      <c r="S118" s="71">
        <f>Handling_Const_EF_PM10_RA*('Regional data'!$U72/2.2)^1.3/(Moisture_RA*100/2)^1.4</f>
        <v>0</v>
      </c>
      <c r="T118" s="73">
        <f>Handling_Const_EF_PM2.5_RA*('Regional data'!$U72/2.2)^1.3/(Moisture_RA*100/2)^1.4</f>
        <v>0</v>
      </c>
    </row>
    <row r="119" spans="2:20" x14ac:dyDescent="0.25">
      <c r="B119" s="69">
        <f>'Regional data'!B73</f>
        <v>0</v>
      </c>
      <c r="C119" s="141">
        <f>'Regional data'!F73*Prod_CR*Size_dist_LQ_CR</f>
        <v>0</v>
      </c>
      <c r="D119" s="142">
        <f>'Regional data'!G73*Prod_CR*Size_dist_MQ_CR</f>
        <v>0</v>
      </c>
      <c r="E119" s="142">
        <f>'Regional data'!H73*Prod_CR*Size_dist_SQ_CR</f>
        <v>0</v>
      </c>
      <c r="F119" s="71">
        <f>Handling_Const_EF_TSP_CR*('Regional data'!$U73/2.2)^1.3/(Moisture_CR*100/2)^1.4</f>
        <v>0</v>
      </c>
      <c r="G119" s="71">
        <f>Handling_Const_EF_PM10_CR*('Regional data'!$U73/2.2)^1.3/(Moisture_CR*100/2)^1.4</f>
        <v>0</v>
      </c>
      <c r="H119" s="72">
        <f>Handling_Const_EF_PM2.5_CR*('Regional data'!$U73/2.2)^1.3/(Moisture_CR*100/2)^1.4</f>
        <v>0</v>
      </c>
      <c r="I119" s="141">
        <f>'Regional data'!L73*Prod_SG*Size_dist_LQ_SG</f>
        <v>0</v>
      </c>
      <c r="J119" s="142">
        <f>'Regional data'!M73*Prod_SG*Size_dist_MQ_SG</f>
        <v>0</v>
      </c>
      <c r="K119" s="142">
        <f>'Regional data'!N73*Prod_SG*Size_dist_SQ_SG</f>
        <v>0</v>
      </c>
      <c r="L119" s="71">
        <f>Handling_Const_EF_TSP_SG*('Regional data'!$U73/2.2)^1.3/(Moisture_SG*100/2)^1.4</f>
        <v>0</v>
      </c>
      <c r="M119" s="71">
        <f>Handling_Const_EF_PM10_SG*('Regional data'!$U73/2.2)^1.3/(Moisture_SG*100/2)^1.4</f>
        <v>0</v>
      </c>
      <c r="N119" s="73">
        <f>Handling_Const_EF_PM2.5_SG*('Regional data'!$U73/2.2)^1.3/(Moisture_SG*100/2)^1.4</f>
        <v>0</v>
      </c>
      <c r="O119" s="141">
        <f>'Regional data'!R73*Prod_RA*Size_dist_LQ_RA</f>
        <v>0</v>
      </c>
      <c r="P119" s="142">
        <f>'Regional data'!S73*Prod_RA*Size_dist_MQ_RA</f>
        <v>0</v>
      </c>
      <c r="Q119" s="142">
        <f>'Regional data'!T73*Prod_RA*Size_dist_SQ_RA</f>
        <v>0</v>
      </c>
      <c r="R119" s="71">
        <f>Handling_Const_EF_TSP_RA*('Regional data'!$U73/2.2)^1.3/(Moisture_RA*100/2)^1.4</f>
        <v>0</v>
      </c>
      <c r="S119" s="71">
        <f>Handling_Const_EF_PM10_RA*('Regional data'!$U73/2.2)^1.3/(Moisture_RA*100/2)^1.4</f>
        <v>0</v>
      </c>
      <c r="T119" s="73">
        <f>Handling_Const_EF_PM2.5_RA*('Regional data'!$U73/2.2)^1.3/(Moisture_RA*100/2)^1.4</f>
        <v>0</v>
      </c>
    </row>
    <row r="120" spans="2:20" x14ac:dyDescent="0.25">
      <c r="B120" s="69">
        <f>'Regional data'!B74</f>
        <v>0</v>
      </c>
      <c r="C120" s="141">
        <f>'Regional data'!F74*Prod_CR*Size_dist_LQ_CR</f>
        <v>0</v>
      </c>
      <c r="D120" s="142">
        <f>'Regional data'!G74*Prod_CR*Size_dist_MQ_CR</f>
        <v>0</v>
      </c>
      <c r="E120" s="142">
        <f>'Regional data'!H74*Prod_CR*Size_dist_SQ_CR</f>
        <v>0</v>
      </c>
      <c r="F120" s="71">
        <f>Handling_Const_EF_TSP_CR*('Regional data'!$U74/2.2)^1.3/(Moisture_CR*100/2)^1.4</f>
        <v>0</v>
      </c>
      <c r="G120" s="71">
        <f>Handling_Const_EF_PM10_CR*('Regional data'!$U74/2.2)^1.3/(Moisture_CR*100/2)^1.4</f>
        <v>0</v>
      </c>
      <c r="H120" s="72">
        <f>Handling_Const_EF_PM2.5_CR*('Regional data'!$U74/2.2)^1.3/(Moisture_CR*100/2)^1.4</f>
        <v>0</v>
      </c>
      <c r="I120" s="141">
        <f>'Regional data'!L74*Prod_SG*Size_dist_LQ_SG</f>
        <v>0</v>
      </c>
      <c r="J120" s="142">
        <f>'Regional data'!M74*Prod_SG*Size_dist_MQ_SG</f>
        <v>0</v>
      </c>
      <c r="K120" s="142">
        <f>'Regional data'!N74*Prod_SG*Size_dist_SQ_SG</f>
        <v>0</v>
      </c>
      <c r="L120" s="71">
        <f>Handling_Const_EF_TSP_SG*('Regional data'!$U74/2.2)^1.3/(Moisture_SG*100/2)^1.4</f>
        <v>0</v>
      </c>
      <c r="M120" s="71">
        <f>Handling_Const_EF_PM10_SG*('Regional data'!$U74/2.2)^1.3/(Moisture_SG*100/2)^1.4</f>
        <v>0</v>
      </c>
      <c r="N120" s="73">
        <f>Handling_Const_EF_PM2.5_SG*('Regional data'!$U74/2.2)^1.3/(Moisture_SG*100/2)^1.4</f>
        <v>0</v>
      </c>
      <c r="O120" s="141">
        <f>'Regional data'!R74*Prod_RA*Size_dist_LQ_RA</f>
        <v>0</v>
      </c>
      <c r="P120" s="142">
        <f>'Regional data'!S74*Prod_RA*Size_dist_MQ_RA</f>
        <v>0</v>
      </c>
      <c r="Q120" s="142">
        <f>'Regional data'!T74*Prod_RA*Size_dist_SQ_RA</f>
        <v>0</v>
      </c>
      <c r="R120" s="71">
        <f>Handling_Const_EF_TSP_RA*('Regional data'!$U74/2.2)^1.3/(Moisture_RA*100/2)^1.4</f>
        <v>0</v>
      </c>
      <c r="S120" s="71">
        <f>Handling_Const_EF_PM10_RA*('Regional data'!$U74/2.2)^1.3/(Moisture_RA*100/2)^1.4</f>
        <v>0</v>
      </c>
      <c r="T120" s="73">
        <f>Handling_Const_EF_PM2.5_RA*('Regional data'!$U74/2.2)^1.3/(Moisture_RA*100/2)^1.4</f>
        <v>0</v>
      </c>
    </row>
    <row r="121" spans="2:20" x14ac:dyDescent="0.25">
      <c r="B121" s="69">
        <f>'Regional data'!B75</f>
        <v>0</v>
      </c>
      <c r="C121" s="141">
        <f>'Regional data'!F75*Prod_CR*Size_dist_LQ_CR</f>
        <v>0</v>
      </c>
      <c r="D121" s="142">
        <f>'Regional data'!G75*Prod_CR*Size_dist_MQ_CR</f>
        <v>0</v>
      </c>
      <c r="E121" s="142">
        <f>'Regional data'!H75*Prod_CR*Size_dist_SQ_CR</f>
        <v>0</v>
      </c>
      <c r="F121" s="71">
        <f>Handling_Const_EF_TSP_CR*('Regional data'!$U75/2.2)^1.3/(Moisture_CR*100/2)^1.4</f>
        <v>0</v>
      </c>
      <c r="G121" s="71">
        <f>Handling_Const_EF_PM10_CR*('Regional data'!$U75/2.2)^1.3/(Moisture_CR*100/2)^1.4</f>
        <v>0</v>
      </c>
      <c r="H121" s="72">
        <f>Handling_Const_EF_PM2.5_CR*('Regional data'!$U75/2.2)^1.3/(Moisture_CR*100/2)^1.4</f>
        <v>0</v>
      </c>
      <c r="I121" s="141">
        <f>'Regional data'!L75*Prod_SG*Size_dist_LQ_SG</f>
        <v>0</v>
      </c>
      <c r="J121" s="142">
        <f>'Regional data'!M75*Prod_SG*Size_dist_MQ_SG</f>
        <v>0</v>
      </c>
      <c r="K121" s="142">
        <f>'Regional data'!N75*Prod_SG*Size_dist_SQ_SG</f>
        <v>0</v>
      </c>
      <c r="L121" s="71">
        <f>Handling_Const_EF_TSP_SG*('Regional data'!$U75/2.2)^1.3/(Moisture_SG*100/2)^1.4</f>
        <v>0</v>
      </c>
      <c r="M121" s="71">
        <f>Handling_Const_EF_PM10_SG*('Regional data'!$U75/2.2)^1.3/(Moisture_SG*100/2)^1.4</f>
        <v>0</v>
      </c>
      <c r="N121" s="73">
        <f>Handling_Const_EF_PM2.5_SG*('Regional data'!$U75/2.2)^1.3/(Moisture_SG*100/2)^1.4</f>
        <v>0</v>
      </c>
      <c r="O121" s="141">
        <f>'Regional data'!R75*Prod_RA*Size_dist_LQ_RA</f>
        <v>0</v>
      </c>
      <c r="P121" s="142">
        <f>'Regional data'!S75*Prod_RA*Size_dist_MQ_RA</f>
        <v>0</v>
      </c>
      <c r="Q121" s="142">
        <f>'Regional data'!T75*Prod_RA*Size_dist_SQ_RA</f>
        <v>0</v>
      </c>
      <c r="R121" s="71">
        <f>Handling_Const_EF_TSP_RA*('Regional data'!$U75/2.2)^1.3/(Moisture_RA*100/2)^1.4</f>
        <v>0</v>
      </c>
      <c r="S121" s="71">
        <f>Handling_Const_EF_PM10_RA*('Regional data'!$U75/2.2)^1.3/(Moisture_RA*100/2)^1.4</f>
        <v>0</v>
      </c>
      <c r="T121" s="73">
        <f>Handling_Const_EF_PM2.5_RA*('Regional data'!$U75/2.2)^1.3/(Moisture_RA*100/2)^1.4</f>
        <v>0</v>
      </c>
    </row>
    <row r="122" spans="2:20" x14ac:dyDescent="0.25">
      <c r="B122" s="69">
        <f>'Regional data'!B76</f>
        <v>0</v>
      </c>
      <c r="C122" s="141">
        <f>'Regional data'!F76*Prod_CR*Size_dist_LQ_CR</f>
        <v>0</v>
      </c>
      <c r="D122" s="142">
        <f>'Regional data'!G76*Prod_CR*Size_dist_MQ_CR</f>
        <v>0</v>
      </c>
      <c r="E122" s="142">
        <f>'Regional data'!H76*Prod_CR*Size_dist_SQ_CR</f>
        <v>0</v>
      </c>
      <c r="F122" s="71">
        <f>Handling_Const_EF_TSP_CR*('Regional data'!$U76/2.2)^1.3/(Moisture_CR*100/2)^1.4</f>
        <v>0</v>
      </c>
      <c r="G122" s="71">
        <f>Handling_Const_EF_PM10_CR*('Regional data'!$U76/2.2)^1.3/(Moisture_CR*100/2)^1.4</f>
        <v>0</v>
      </c>
      <c r="H122" s="72">
        <f>Handling_Const_EF_PM2.5_CR*('Regional data'!$U76/2.2)^1.3/(Moisture_CR*100/2)^1.4</f>
        <v>0</v>
      </c>
      <c r="I122" s="141">
        <f>'Regional data'!L76*Prod_SG*Size_dist_LQ_SG</f>
        <v>0</v>
      </c>
      <c r="J122" s="142">
        <f>'Regional data'!M76*Prod_SG*Size_dist_MQ_SG</f>
        <v>0</v>
      </c>
      <c r="K122" s="142">
        <f>'Regional data'!N76*Prod_SG*Size_dist_SQ_SG</f>
        <v>0</v>
      </c>
      <c r="L122" s="71">
        <f>Handling_Const_EF_TSP_SG*('Regional data'!$U76/2.2)^1.3/(Moisture_SG*100/2)^1.4</f>
        <v>0</v>
      </c>
      <c r="M122" s="71">
        <f>Handling_Const_EF_PM10_SG*('Regional data'!$U76/2.2)^1.3/(Moisture_SG*100/2)^1.4</f>
        <v>0</v>
      </c>
      <c r="N122" s="73">
        <f>Handling_Const_EF_PM2.5_SG*('Regional data'!$U76/2.2)^1.3/(Moisture_SG*100/2)^1.4</f>
        <v>0</v>
      </c>
      <c r="O122" s="141">
        <f>'Regional data'!R76*Prod_RA*Size_dist_LQ_RA</f>
        <v>0</v>
      </c>
      <c r="P122" s="142">
        <f>'Regional data'!S76*Prod_RA*Size_dist_MQ_RA</f>
        <v>0</v>
      </c>
      <c r="Q122" s="142">
        <f>'Regional data'!T76*Prod_RA*Size_dist_SQ_RA</f>
        <v>0</v>
      </c>
      <c r="R122" s="71">
        <f>Handling_Const_EF_TSP_RA*('Regional data'!$U76/2.2)^1.3/(Moisture_RA*100/2)^1.4</f>
        <v>0</v>
      </c>
      <c r="S122" s="71">
        <f>Handling_Const_EF_PM10_RA*('Regional data'!$U76/2.2)^1.3/(Moisture_RA*100/2)^1.4</f>
        <v>0</v>
      </c>
      <c r="T122" s="73">
        <f>Handling_Const_EF_PM2.5_RA*('Regional data'!$U76/2.2)^1.3/(Moisture_RA*100/2)^1.4</f>
        <v>0</v>
      </c>
    </row>
    <row r="123" spans="2:20" x14ac:dyDescent="0.25">
      <c r="B123" s="69">
        <f>'Regional data'!B77</f>
        <v>0</v>
      </c>
      <c r="C123" s="141">
        <f>'Regional data'!F77*Prod_CR*Size_dist_LQ_CR</f>
        <v>0</v>
      </c>
      <c r="D123" s="142">
        <f>'Regional data'!G77*Prod_CR*Size_dist_MQ_CR</f>
        <v>0</v>
      </c>
      <c r="E123" s="142">
        <f>'Regional data'!H77*Prod_CR*Size_dist_SQ_CR</f>
        <v>0</v>
      </c>
      <c r="F123" s="71">
        <f>Handling_Const_EF_TSP_CR*('Regional data'!$U77/2.2)^1.3/(Moisture_CR*100/2)^1.4</f>
        <v>0</v>
      </c>
      <c r="G123" s="71">
        <f>Handling_Const_EF_PM10_CR*('Regional data'!$U77/2.2)^1.3/(Moisture_CR*100/2)^1.4</f>
        <v>0</v>
      </c>
      <c r="H123" s="72">
        <f>Handling_Const_EF_PM2.5_CR*('Regional data'!$U77/2.2)^1.3/(Moisture_CR*100/2)^1.4</f>
        <v>0</v>
      </c>
      <c r="I123" s="141">
        <f>'Regional data'!L77*Prod_SG*Size_dist_LQ_SG</f>
        <v>0</v>
      </c>
      <c r="J123" s="142">
        <f>'Regional data'!M77*Prod_SG*Size_dist_MQ_SG</f>
        <v>0</v>
      </c>
      <c r="K123" s="142">
        <f>'Regional data'!N77*Prod_SG*Size_dist_SQ_SG</f>
        <v>0</v>
      </c>
      <c r="L123" s="71">
        <f>Handling_Const_EF_TSP_SG*('Regional data'!$U77/2.2)^1.3/(Moisture_SG*100/2)^1.4</f>
        <v>0</v>
      </c>
      <c r="M123" s="71">
        <f>Handling_Const_EF_PM10_SG*('Regional data'!$U77/2.2)^1.3/(Moisture_SG*100/2)^1.4</f>
        <v>0</v>
      </c>
      <c r="N123" s="73">
        <f>Handling_Const_EF_PM2.5_SG*('Regional data'!$U77/2.2)^1.3/(Moisture_SG*100/2)^1.4</f>
        <v>0</v>
      </c>
      <c r="O123" s="141">
        <f>'Regional data'!R77*Prod_RA*Size_dist_LQ_RA</f>
        <v>0</v>
      </c>
      <c r="P123" s="142">
        <f>'Regional data'!S77*Prod_RA*Size_dist_MQ_RA</f>
        <v>0</v>
      </c>
      <c r="Q123" s="142">
        <f>'Regional data'!T77*Prod_RA*Size_dist_SQ_RA</f>
        <v>0</v>
      </c>
      <c r="R123" s="71">
        <f>Handling_Const_EF_TSP_RA*('Regional data'!$U77/2.2)^1.3/(Moisture_RA*100/2)^1.4</f>
        <v>0</v>
      </c>
      <c r="S123" s="71">
        <f>Handling_Const_EF_PM10_RA*('Regional data'!$U77/2.2)^1.3/(Moisture_RA*100/2)^1.4</f>
        <v>0</v>
      </c>
      <c r="T123" s="73">
        <f>Handling_Const_EF_PM2.5_RA*('Regional data'!$U77/2.2)^1.3/(Moisture_RA*100/2)^1.4</f>
        <v>0</v>
      </c>
    </row>
    <row r="124" spans="2:20" x14ac:dyDescent="0.25">
      <c r="B124" s="69">
        <f>'Regional data'!B78</f>
        <v>0</v>
      </c>
      <c r="C124" s="141">
        <f>'Regional data'!F78*Prod_CR*Size_dist_LQ_CR</f>
        <v>0</v>
      </c>
      <c r="D124" s="142">
        <f>'Regional data'!G78*Prod_CR*Size_dist_MQ_CR</f>
        <v>0</v>
      </c>
      <c r="E124" s="142">
        <f>'Regional data'!H78*Prod_CR*Size_dist_SQ_CR</f>
        <v>0</v>
      </c>
      <c r="F124" s="71">
        <f>Handling_Const_EF_TSP_CR*('Regional data'!$U78/2.2)^1.3/(Moisture_CR*100/2)^1.4</f>
        <v>0</v>
      </c>
      <c r="G124" s="71">
        <f>Handling_Const_EF_PM10_CR*('Regional data'!$U78/2.2)^1.3/(Moisture_CR*100/2)^1.4</f>
        <v>0</v>
      </c>
      <c r="H124" s="72">
        <f>Handling_Const_EF_PM2.5_CR*('Regional data'!$U78/2.2)^1.3/(Moisture_CR*100/2)^1.4</f>
        <v>0</v>
      </c>
      <c r="I124" s="141">
        <f>'Regional data'!L78*Prod_SG*Size_dist_LQ_SG</f>
        <v>0</v>
      </c>
      <c r="J124" s="142">
        <f>'Regional data'!M78*Prod_SG*Size_dist_MQ_SG</f>
        <v>0</v>
      </c>
      <c r="K124" s="142">
        <f>'Regional data'!N78*Prod_SG*Size_dist_SQ_SG</f>
        <v>0</v>
      </c>
      <c r="L124" s="71">
        <f>Handling_Const_EF_TSP_SG*('Regional data'!$U78/2.2)^1.3/(Moisture_SG*100/2)^1.4</f>
        <v>0</v>
      </c>
      <c r="M124" s="71">
        <f>Handling_Const_EF_PM10_SG*('Regional data'!$U78/2.2)^1.3/(Moisture_SG*100/2)^1.4</f>
        <v>0</v>
      </c>
      <c r="N124" s="73">
        <f>Handling_Const_EF_PM2.5_SG*('Regional data'!$U78/2.2)^1.3/(Moisture_SG*100/2)^1.4</f>
        <v>0</v>
      </c>
      <c r="O124" s="141">
        <f>'Regional data'!R78*Prod_RA*Size_dist_LQ_RA</f>
        <v>0</v>
      </c>
      <c r="P124" s="142">
        <f>'Regional data'!S78*Prod_RA*Size_dist_MQ_RA</f>
        <v>0</v>
      </c>
      <c r="Q124" s="142">
        <f>'Regional data'!T78*Prod_RA*Size_dist_SQ_RA</f>
        <v>0</v>
      </c>
      <c r="R124" s="71">
        <f>Handling_Const_EF_TSP_RA*('Regional data'!$U78/2.2)^1.3/(Moisture_RA*100/2)^1.4</f>
        <v>0</v>
      </c>
      <c r="S124" s="71">
        <f>Handling_Const_EF_PM10_RA*('Regional data'!$U78/2.2)^1.3/(Moisture_RA*100/2)^1.4</f>
        <v>0</v>
      </c>
      <c r="T124" s="73">
        <f>Handling_Const_EF_PM2.5_RA*('Regional data'!$U78/2.2)^1.3/(Moisture_RA*100/2)^1.4</f>
        <v>0</v>
      </c>
    </row>
    <row r="125" spans="2:20" x14ac:dyDescent="0.25">
      <c r="B125" s="69">
        <f>'Regional data'!B79</f>
        <v>0</v>
      </c>
      <c r="C125" s="141">
        <f>'Regional data'!F79*Prod_CR*Size_dist_LQ_CR</f>
        <v>0</v>
      </c>
      <c r="D125" s="142">
        <f>'Regional data'!G79*Prod_CR*Size_dist_MQ_CR</f>
        <v>0</v>
      </c>
      <c r="E125" s="142">
        <f>'Regional data'!H79*Prod_CR*Size_dist_SQ_CR</f>
        <v>0</v>
      </c>
      <c r="F125" s="71">
        <f>Handling_Const_EF_TSP_CR*('Regional data'!$U79/2.2)^1.3/(Moisture_CR*100/2)^1.4</f>
        <v>0</v>
      </c>
      <c r="G125" s="71">
        <f>Handling_Const_EF_PM10_CR*('Regional data'!$U79/2.2)^1.3/(Moisture_CR*100/2)^1.4</f>
        <v>0</v>
      </c>
      <c r="H125" s="72">
        <f>Handling_Const_EF_PM2.5_CR*('Regional data'!$U79/2.2)^1.3/(Moisture_CR*100/2)^1.4</f>
        <v>0</v>
      </c>
      <c r="I125" s="141">
        <f>'Regional data'!L79*Prod_SG*Size_dist_LQ_SG</f>
        <v>0</v>
      </c>
      <c r="J125" s="142">
        <f>'Regional data'!M79*Prod_SG*Size_dist_MQ_SG</f>
        <v>0</v>
      </c>
      <c r="K125" s="142">
        <f>'Regional data'!N79*Prod_SG*Size_dist_SQ_SG</f>
        <v>0</v>
      </c>
      <c r="L125" s="71">
        <f>Handling_Const_EF_TSP_SG*('Regional data'!$U79/2.2)^1.3/(Moisture_SG*100/2)^1.4</f>
        <v>0</v>
      </c>
      <c r="M125" s="71">
        <f>Handling_Const_EF_PM10_SG*('Regional data'!$U79/2.2)^1.3/(Moisture_SG*100/2)^1.4</f>
        <v>0</v>
      </c>
      <c r="N125" s="73">
        <f>Handling_Const_EF_PM2.5_SG*('Regional data'!$U79/2.2)^1.3/(Moisture_SG*100/2)^1.4</f>
        <v>0</v>
      </c>
      <c r="O125" s="141">
        <f>'Regional data'!R79*Prod_RA*Size_dist_LQ_RA</f>
        <v>0</v>
      </c>
      <c r="P125" s="142">
        <f>'Regional data'!S79*Prod_RA*Size_dist_MQ_RA</f>
        <v>0</v>
      </c>
      <c r="Q125" s="142">
        <f>'Regional data'!T79*Prod_RA*Size_dist_SQ_RA</f>
        <v>0</v>
      </c>
      <c r="R125" s="71">
        <f>Handling_Const_EF_TSP_RA*('Regional data'!$U79/2.2)^1.3/(Moisture_RA*100/2)^1.4</f>
        <v>0</v>
      </c>
      <c r="S125" s="71">
        <f>Handling_Const_EF_PM10_RA*('Regional data'!$U79/2.2)^1.3/(Moisture_RA*100/2)^1.4</f>
        <v>0</v>
      </c>
      <c r="T125" s="73">
        <f>Handling_Const_EF_PM2.5_RA*('Regional data'!$U79/2.2)^1.3/(Moisture_RA*100/2)^1.4</f>
        <v>0</v>
      </c>
    </row>
    <row r="126" spans="2:20" x14ac:dyDescent="0.25">
      <c r="B126" s="69">
        <f>'Regional data'!B80</f>
        <v>0</v>
      </c>
      <c r="C126" s="141">
        <f>'Regional data'!F80*Prod_CR*Size_dist_LQ_CR</f>
        <v>0</v>
      </c>
      <c r="D126" s="142">
        <f>'Regional data'!G80*Prod_CR*Size_dist_MQ_CR</f>
        <v>0</v>
      </c>
      <c r="E126" s="142">
        <f>'Regional data'!H80*Prod_CR*Size_dist_SQ_CR</f>
        <v>0</v>
      </c>
      <c r="F126" s="71">
        <f>Handling_Const_EF_TSP_CR*('Regional data'!$U80/2.2)^1.3/(Moisture_CR*100/2)^1.4</f>
        <v>0</v>
      </c>
      <c r="G126" s="71">
        <f>Handling_Const_EF_PM10_CR*('Regional data'!$U80/2.2)^1.3/(Moisture_CR*100/2)^1.4</f>
        <v>0</v>
      </c>
      <c r="H126" s="72">
        <f>Handling_Const_EF_PM2.5_CR*('Regional data'!$U80/2.2)^1.3/(Moisture_CR*100/2)^1.4</f>
        <v>0</v>
      </c>
      <c r="I126" s="141">
        <f>'Regional data'!L80*Prod_SG*Size_dist_LQ_SG</f>
        <v>0</v>
      </c>
      <c r="J126" s="142">
        <f>'Regional data'!M80*Prod_SG*Size_dist_MQ_SG</f>
        <v>0</v>
      </c>
      <c r="K126" s="142">
        <f>'Regional data'!N80*Prod_SG*Size_dist_SQ_SG</f>
        <v>0</v>
      </c>
      <c r="L126" s="71">
        <f>Handling_Const_EF_TSP_SG*('Regional data'!$U80/2.2)^1.3/(Moisture_SG*100/2)^1.4</f>
        <v>0</v>
      </c>
      <c r="M126" s="71">
        <f>Handling_Const_EF_PM10_SG*('Regional data'!$U80/2.2)^1.3/(Moisture_SG*100/2)^1.4</f>
        <v>0</v>
      </c>
      <c r="N126" s="73">
        <f>Handling_Const_EF_PM2.5_SG*('Regional data'!$U80/2.2)^1.3/(Moisture_SG*100/2)^1.4</f>
        <v>0</v>
      </c>
      <c r="O126" s="141">
        <f>'Regional data'!R80*Prod_RA*Size_dist_LQ_RA</f>
        <v>0</v>
      </c>
      <c r="P126" s="142">
        <f>'Regional data'!S80*Prod_RA*Size_dist_MQ_RA</f>
        <v>0</v>
      </c>
      <c r="Q126" s="142">
        <f>'Regional data'!T80*Prod_RA*Size_dist_SQ_RA</f>
        <v>0</v>
      </c>
      <c r="R126" s="71">
        <f>Handling_Const_EF_TSP_RA*('Regional data'!$U80/2.2)^1.3/(Moisture_RA*100/2)^1.4</f>
        <v>0</v>
      </c>
      <c r="S126" s="71">
        <f>Handling_Const_EF_PM10_RA*('Regional data'!$U80/2.2)^1.3/(Moisture_RA*100/2)^1.4</f>
        <v>0</v>
      </c>
      <c r="T126" s="73">
        <f>Handling_Const_EF_PM2.5_RA*('Regional data'!$U80/2.2)^1.3/(Moisture_RA*100/2)^1.4</f>
        <v>0</v>
      </c>
    </row>
    <row r="127" spans="2:20" x14ac:dyDescent="0.25">
      <c r="B127" s="69">
        <f>'Regional data'!B81</f>
        <v>0</v>
      </c>
      <c r="C127" s="141">
        <f>'Regional data'!F81*Prod_CR*Size_dist_LQ_CR</f>
        <v>0</v>
      </c>
      <c r="D127" s="142">
        <f>'Regional data'!G81*Prod_CR*Size_dist_MQ_CR</f>
        <v>0</v>
      </c>
      <c r="E127" s="142">
        <f>'Regional data'!H81*Prod_CR*Size_dist_SQ_CR</f>
        <v>0</v>
      </c>
      <c r="F127" s="71">
        <f>Handling_Const_EF_TSP_CR*('Regional data'!$U81/2.2)^1.3/(Moisture_CR*100/2)^1.4</f>
        <v>0</v>
      </c>
      <c r="G127" s="71">
        <f>Handling_Const_EF_PM10_CR*('Regional data'!$U81/2.2)^1.3/(Moisture_CR*100/2)^1.4</f>
        <v>0</v>
      </c>
      <c r="H127" s="72">
        <f>Handling_Const_EF_PM2.5_CR*('Regional data'!$U81/2.2)^1.3/(Moisture_CR*100/2)^1.4</f>
        <v>0</v>
      </c>
      <c r="I127" s="141">
        <f>'Regional data'!L81*Prod_SG*Size_dist_LQ_SG</f>
        <v>0</v>
      </c>
      <c r="J127" s="142">
        <f>'Regional data'!M81*Prod_SG*Size_dist_MQ_SG</f>
        <v>0</v>
      </c>
      <c r="K127" s="142">
        <f>'Regional data'!N81*Prod_SG*Size_dist_SQ_SG</f>
        <v>0</v>
      </c>
      <c r="L127" s="71">
        <f>Handling_Const_EF_TSP_SG*('Regional data'!$U81/2.2)^1.3/(Moisture_SG*100/2)^1.4</f>
        <v>0</v>
      </c>
      <c r="M127" s="71">
        <f>Handling_Const_EF_PM10_SG*('Regional data'!$U81/2.2)^1.3/(Moisture_SG*100/2)^1.4</f>
        <v>0</v>
      </c>
      <c r="N127" s="73">
        <f>Handling_Const_EF_PM2.5_SG*('Regional data'!$U81/2.2)^1.3/(Moisture_SG*100/2)^1.4</f>
        <v>0</v>
      </c>
      <c r="O127" s="141">
        <f>'Regional data'!R81*Prod_RA*Size_dist_LQ_RA</f>
        <v>0</v>
      </c>
      <c r="P127" s="142">
        <f>'Regional data'!S81*Prod_RA*Size_dist_MQ_RA</f>
        <v>0</v>
      </c>
      <c r="Q127" s="142">
        <f>'Regional data'!T81*Prod_RA*Size_dist_SQ_RA</f>
        <v>0</v>
      </c>
      <c r="R127" s="71">
        <f>Handling_Const_EF_TSP_RA*('Regional data'!$U81/2.2)^1.3/(Moisture_RA*100/2)^1.4</f>
        <v>0</v>
      </c>
      <c r="S127" s="71">
        <f>Handling_Const_EF_PM10_RA*('Regional data'!$U81/2.2)^1.3/(Moisture_RA*100/2)^1.4</f>
        <v>0</v>
      </c>
      <c r="T127" s="73">
        <f>Handling_Const_EF_PM2.5_RA*('Regional data'!$U81/2.2)^1.3/(Moisture_RA*100/2)^1.4</f>
        <v>0</v>
      </c>
    </row>
    <row r="128" spans="2:20" x14ac:dyDescent="0.25">
      <c r="B128" s="69">
        <f>'Regional data'!B82</f>
        <v>0</v>
      </c>
      <c r="C128" s="141">
        <f>'Regional data'!F82*Prod_CR*Size_dist_LQ_CR</f>
        <v>0</v>
      </c>
      <c r="D128" s="142">
        <f>'Regional data'!G82*Prod_CR*Size_dist_MQ_CR</f>
        <v>0</v>
      </c>
      <c r="E128" s="142">
        <f>'Regional data'!H82*Prod_CR*Size_dist_SQ_CR</f>
        <v>0</v>
      </c>
      <c r="F128" s="71">
        <f>Handling_Const_EF_TSP_CR*('Regional data'!$U82/2.2)^1.3/(Moisture_CR*100/2)^1.4</f>
        <v>0</v>
      </c>
      <c r="G128" s="71">
        <f>Handling_Const_EF_PM10_CR*('Regional data'!$U82/2.2)^1.3/(Moisture_CR*100/2)^1.4</f>
        <v>0</v>
      </c>
      <c r="H128" s="72">
        <f>Handling_Const_EF_PM2.5_CR*('Regional data'!$U82/2.2)^1.3/(Moisture_CR*100/2)^1.4</f>
        <v>0</v>
      </c>
      <c r="I128" s="141">
        <f>'Regional data'!L82*Prod_SG*Size_dist_LQ_SG</f>
        <v>0</v>
      </c>
      <c r="J128" s="142">
        <f>'Regional data'!M82*Prod_SG*Size_dist_MQ_SG</f>
        <v>0</v>
      </c>
      <c r="K128" s="142">
        <f>'Regional data'!N82*Prod_SG*Size_dist_SQ_SG</f>
        <v>0</v>
      </c>
      <c r="L128" s="71">
        <f>Handling_Const_EF_TSP_SG*('Regional data'!$U82/2.2)^1.3/(Moisture_SG*100/2)^1.4</f>
        <v>0</v>
      </c>
      <c r="M128" s="71">
        <f>Handling_Const_EF_PM10_SG*('Regional data'!$U82/2.2)^1.3/(Moisture_SG*100/2)^1.4</f>
        <v>0</v>
      </c>
      <c r="N128" s="73">
        <f>Handling_Const_EF_PM2.5_SG*('Regional data'!$U82/2.2)^1.3/(Moisture_SG*100/2)^1.4</f>
        <v>0</v>
      </c>
      <c r="O128" s="141">
        <f>'Regional data'!R82*Prod_RA*Size_dist_LQ_RA</f>
        <v>0</v>
      </c>
      <c r="P128" s="142">
        <f>'Regional data'!S82*Prod_RA*Size_dist_MQ_RA</f>
        <v>0</v>
      </c>
      <c r="Q128" s="142">
        <f>'Regional data'!T82*Prod_RA*Size_dist_SQ_RA</f>
        <v>0</v>
      </c>
      <c r="R128" s="71">
        <f>Handling_Const_EF_TSP_RA*('Regional data'!$U82/2.2)^1.3/(Moisture_RA*100/2)^1.4</f>
        <v>0</v>
      </c>
      <c r="S128" s="71">
        <f>Handling_Const_EF_PM10_RA*('Regional data'!$U82/2.2)^1.3/(Moisture_RA*100/2)^1.4</f>
        <v>0</v>
      </c>
      <c r="T128" s="73">
        <f>Handling_Const_EF_PM2.5_RA*('Regional data'!$U82/2.2)^1.3/(Moisture_RA*100/2)^1.4</f>
        <v>0</v>
      </c>
    </row>
    <row r="129" spans="2:20" x14ac:dyDescent="0.25">
      <c r="B129" s="69">
        <f>'Regional data'!B83</f>
        <v>0</v>
      </c>
      <c r="C129" s="141">
        <f>'Regional data'!F83*Prod_CR*Size_dist_LQ_CR</f>
        <v>0</v>
      </c>
      <c r="D129" s="142">
        <f>'Regional data'!G83*Prod_CR*Size_dist_MQ_CR</f>
        <v>0</v>
      </c>
      <c r="E129" s="142">
        <f>'Regional data'!H83*Prod_CR*Size_dist_SQ_CR</f>
        <v>0</v>
      </c>
      <c r="F129" s="71">
        <f>Handling_Const_EF_TSP_CR*('Regional data'!$U83/2.2)^1.3/(Moisture_CR*100/2)^1.4</f>
        <v>0</v>
      </c>
      <c r="G129" s="71">
        <f>Handling_Const_EF_PM10_CR*('Regional data'!$U83/2.2)^1.3/(Moisture_CR*100/2)^1.4</f>
        <v>0</v>
      </c>
      <c r="H129" s="72">
        <f>Handling_Const_EF_PM2.5_CR*('Regional data'!$U83/2.2)^1.3/(Moisture_CR*100/2)^1.4</f>
        <v>0</v>
      </c>
      <c r="I129" s="141">
        <f>'Regional data'!L83*Prod_SG*Size_dist_LQ_SG</f>
        <v>0</v>
      </c>
      <c r="J129" s="142">
        <f>'Regional data'!M83*Prod_SG*Size_dist_MQ_SG</f>
        <v>0</v>
      </c>
      <c r="K129" s="142">
        <f>'Regional data'!N83*Prod_SG*Size_dist_SQ_SG</f>
        <v>0</v>
      </c>
      <c r="L129" s="71">
        <f>Handling_Const_EF_TSP_SG*('Regional data'!$U83/2.2)^1.3/(Moisture_SG*100/2)^1.4</f>
        <v>0</v>
      </c>
      <c r="M129" s="71">
        <f>Handling_Const_EF_PM10_SG*('Regional data'!$U83/2.2)^1.3/(Moisture_SG*100/2)^1.4</f>
        <v>0</v>
      </c>
      <c r="N129" s="73">
        <f>Handling_Const_EF_PM2.5_SG*('Regional data'!$U83/2.2)^1.3/(Moisture_SG*100/2)^1.4</f>
        <v>0</v>
      </c>
      <c r="O129" s="141">
        <f>'Regional data'!R83*Prod_RA*Size_dist_LQ_RA</f>
        <v>0</v>
      </c>
      <c r="P129" s="142">
        <f>'Regional data'!S83*Prod_RA*Size_dist_MQ_RA</f>
        <v>0</v>
      </c>
      <c r="Q129" s="142">
        <f>'Regional data'!T83*Prod_RA*Size_dist_SQ_RA</f>
        <v>0</v>
      </c>
      <c r="R129" s="71">
        <f>Handling_Const_EF_TSP_RA*('Regional data'!$U83/2.2)^1.3/(Moisture_RA*100/2)^1.4</f>
        <v>0</v>
      </c>
      <c r="S129" s="71">
        <f>Handling_Const_EF_PM10_RA*('Regional data'!$U83/2.2)^1.3/(Moisture_RA*100/2)^1.4</f>
        <v>0</v>
      </c>
      <c r="T129" s="73">
        <f>Handling_Const_EF_PM2.5_RA*('Regional data'!$U83/2.2)^1.3/(Moisture_RA*100/2)^1.4</f>
        <v>0</v>
      </c>
    </row>
    <row r="130" spans="2:20" x14ac:dyDescent="0.25">
      <c r="B130" s="69">
        <f>'Regional data'!B84</f>
        <v>0</v>
      </c>
      <c r="C130" s="141">
        <f>'Regional data'!F84*Prod_CR*Size_dist_LQ_CR</f>
        <v>0</v>
      </c>
      <c r="D130" s="142">
        <f>'Regional data'!G84*Prod_CR*Size_dist_MQ_CR</f>
        <v>0</v>
      </c>
      <c r="E130" s="142">
        <f>'Regional data'!H84*Prod_CR*Size_dist_SQ_CR</f>
        <v>0</v>
      </c>
      <c r="F130" s="71">
        <f>Handling_Const_EF_TSP_CR*('Regional data'!$U84/2.2)^1.3/(Moisture_CR*100/2)^1.4</f>
        <v>0</v>
      </c>
      <c r="G130" s="71">
        <f>Handling_Const_EF_PM10_CR*('Regional data'!$U84/2.2)^1.3/(Moisture_CR*100/2)^1.4</f>
        <v>0</v>
      </c>
      <c r="H130" s="72">
        <f>Handling_Const_EF_PM2.5_CR*('Regional data'!$U84/2.2)^1.3/(Moisture_CR*100/2)^1.4</f>
        <v>0</v>
      </c>
      <c r="I130" s="141">
        <f>'Regional data'!L84*Prod_SG*Size_dist_LQ_SG</f>
        <v>0</v>
      </c>
      <c r="J130" s="142">
        <f>'Regional data'!M84*Prod_SG*Size_dist_MQ_SG</f>
        <v>0</v>
      </c>
      <c r="K130" s="142">
        <f>'Regional data'!N84*Prod_SG*Size_dist_SQ_SG</f>
        <v>0</v>
      </c>
      <c r="L130" s="71">
        <f>Handling_Const_EF_TSP_SG*('Regional data'!$U84/2.2)^1.3/(Moisture_SG*100/2)^1.4</f>
        <v>0</v>
      </c>
      <c r="M130" s="71">
        <f>Handling_Const_EF_PM10_SG*('Regional data'!$U84/2.2)^1.3/(Moisture_SG*100/2)^1.4</f>
        <v>0</v>
      </c>
      <c r="N130" s="73">
        <f>Handling_Const_EF_PM2.5_SG*('Regional data'!$U84/2.2)^1.3/(Moisture_SG*100/2)^1.4</f>
        <v>0</v>
      </c>
      <c r="O130" s="141">
        <f>'Regional data'!R84*Prod_RA*Size_dist_LQ_RA</f>
        <v>0</v>
      </c>
      <c r="P130" s="142">
        <f>'Regional data'!S84*Prod_RA*Size_dist_MQ_RA</f>
        <v>0</v>
      </c>
      <c r="Q130" s="142">
        <f>'Regional data'!T84*Prod_RA*Size_dist_SQ_RA</f>
        <v>0</v>
      </c>
      <c r="R130" s="71">
        <f>Handling_Const_EF_TSP_RA*('Regional data'!$U84/2.2)^1.3/(Moisture_RA*100/2)^1.4</f>
        <v>0</v>
      </c>
      <c r="S130" s="71">
        <f>Handling_Const_EF_PM10_RA*('Regional data'!$U84/2.2)^1.3/(Moisture_RA*100/2)^1.4</f>
        <v>0</v>
      </c>
      <c r="T130" s="73">
        <f>Handling_Const_EF_PM2.5_RA*('Regional data'!$U84/2.2)^1.3/(Moisture_RA*100/2)^1.4</f>
        <v>0</v>
      </c>
    </row>
    <row r="131" spans="2:20" x14ac:dyDescent="0.25">
      <c r="B131" s="69">
        <f>'Regional data'!B85</f>
        <v>0</v>
      </c>
      <c r="C131" s="141">
        <f>'Regional data'!F85*Prod_CR*Size_dist_LQ_CR</f>
        <v>0</v>
      </c>
      <c r="D131" s="142">
        <f>'Regional data'!G85*Prod_CR*Size_dist_MQ_CR</f>
        <v>0</v>
      </c>
      <c r="E131" s="142">
        <f>'Regional data'!H85*Prod_CR*Size_dist_SQ_CR</f>
        <v>0</v>
      </c>
      <c r="F131" s="71">
        <f>Handling_Const_EF_TSP_CR*('Regional data'!$U85/2.2)^1.3/(Moisture_CR*100/2)^1.4</f>
        <v>0</v>
      </c>
      <c r="G131" s="71">
        <f>Handling_Const_EF_PM10_CR*('Regional data'!$U85/2.2)^1.3/(Moisture_CR*100/2)^1.4</f>
        <v>0</v>
      </c>
      <c r="H131" s="72">
        <f>Handling_Const_EF_PM2.5_CR*('Regional data'!$U85/2.2)^1.3/(Moisture_CR*100/2)^1.4</f>
        <v>0</v>
      </c>
      <c r="I131" s="141">
        <f>'Regional data'!L85*Prod_SG*Size_dist_LQ_SG</f>
        <v>0</v>
      </c>
      <c r="J131" s="142">
        <f>'Regional data'!M85*Prod_SG*Size_dist_MQ_SG</f>
        <v>0</v>
      </c>
      <c r="K131" s="142">
        <f>'Regional data'!N85*Prod_SG*Size_dist_SQ_SG</f>
        <v>0</v>
      </c>
      <c r="L131" s="71">
        <f>Handling_Const_EF_TSP_SG*('Regional data'!$U85/2.2)^1.3/(Moisture_SG*100/2)^1.4</f>
        <v>0</v>
      </c>
      <c r="M131" s="71">
        <f>Handling_Const_EF_PM10_SG*('Regional data'!$U85/2.2)^1.3/(Moisture_SG*100/2)^1.4</f>
        <v>0</v>
      </c>
      <c r="N131" s="73">
        <f>Handling_Const_EF_PM2.5_SG*('Regional data'!$U85/2.2)^1.3/(Moisture_SG*100/2)^1.4</f>
        <v>0</v>
      </c>
      <c r="O131" s="141">
        <f>'Regional data'!R85*Prod_RA*Size_dist_LQ_RA</f>
        <v>0</v>
      </c>
      <c r="P131" s="142">
        <f>'Regional data'!S85*Prod_RA*Size_dist_MQ_RA</f>
        <v>0</v>
      </c>
      <c r="Q131" s="142">
        <f>'Regional data'!T85*Prod_RA*Size_dist_SQ_RA</f>
        <v>0</v>
      </c>
      <c r="R131" s="71">
        <f>Handling_Const_EF_TSP_RA*('Regional data'!$U85/2.2)^1.3/(Moisture_RA*100/2)^1.4</f>
        <v>0</v>
      </c>
      <c r="S131" s="71">
        <f>Handling_Const_EF_PM10_RA*('Regional data'!$U85/2.2)^1.3/(Moisture_RA*100/2)^1.4</f>
        <v>0</v>
      </c>
      <c r="T131" s="73">
        <f>Handling_Const_EF_PM2.5_RA*('Regional data'!$U85/2.2)^1.3/(Moisture_RA*100/2)^1.4</f>
        <v>0</v>
      </c>
    </row>
    <row r="132" spans="2:20" x14ac:dyDescent="0.25">
      <c r="B132" s="69">
        <f>'Regional data'!B86</f>
        <v>0</v>
      </c>
      <c r="C132" s="141">
        <f>'Regional data'!F86*Prod_CR*Size_dist_LQ_CR</f>
        <v>0</v>
      </c>
      <c r="D132" s="142">
        <f>'Regional data'!G86*Prod_CR*Size_dist_MQ_CR</f>
        <v>0</v>
      </c>
      <c r="E132" s="142">
        <f>'Regional data'!H86*Prod_CR*Size_dist_SQ_CR</f>
        <v>0</v>
      </c>
      <c r="F132" s="71">
        <f>Handling_Const_EF_TSP_CR*('Regional data'!$U86/2.2)^1.3/(Moisture_CR*100/2)^1.4</f>
        <v>0</v>
      </c>
      <c r="G132" s="71">
        <f>Handling_Const_EF_PM10_CR*('Regional data'!$U86/2.2)^1.3/(Moisture_CR*100/2)^1.4</f>
        <v>0</v>
      </c>
      <c r="H132" s="72">
        <f>Handling_Const_EF_PM2.5_CR*('Regional data'!$U86/2.2)^1.3/(Moisture_CR*100/2)^1.4</f>
        <v>0</v>
      </c>
      <c r="I132" s="141">
        <f>'Regional data'!L86*Prod_SG*Size_dist_LQ_SG</f>
        <v>0</v>
      </c>
      <c r="J132" s="142">
        <f>'Regional data'!M86*Prod_SG*Size_dist_MQ_SG</f>
        <v>0</v>
      </c>
      <c r="K132" s="142">
        <f>'Regional data'!N86*Prod_SG*Size_dist_SQ_SG</f>
        <v>0</v>
      </c>
      <c r="L132" s="71">
        <f>Handling_Const_EF_TSP_SG*('Regional data'!$U86/2.2)^1.3/(Moisture_SG*100/2)^1.4</f>
        <v>0</v>
      </c>
      <c r="M132" s="71">
        <f>Handling_Const_EF_PM10_SG*('Regional data'!$U86/2.2)^1.3/(Moisture_SG*100/2)^1.4</f>
        <v>0</v>
      </c>
      <c r="N132" s="73">
        <f>Handling_Const_EF_PM2.5_SG*('Regional data'!$U86/2.2)^1.3/(Moisture_SG*100/2)^1.4</f>
        <v>0</v>
      </c>
      <c r="O132" s="141">
        <f>'Regional data'!R86*Prod_RA*Size_dist_LQ_RA</f>
        <v>0</v>
      </c>
      <c r="P132" s="142">
        <f>'Regional data'!S86*Prod_RA*Size_dist_MQ_RA</f>
        <v>0</v>
      </c>
      <c r="Q132" s="142">
        <f>'Regional data'!T86*Prod_RA*Size_dist_SQ_RA</f>
        <v>0</v>
      </c>
      <c r="R132" s="71">
        <f>Handling_Const_EF_TSP_RA*('Regional data'!$U86/2.2)^1.3/(Moisture_RA*100/2)^1.4</f>
        <v>0</v>
      </c>
      <c r="S132" s="71">
        <f>Handling_Const_EF_PM10_RA*('Regional data'!$U86/2.2)^1.3/(Moisture_RA*100/2)^1.4</f>
        <v>0</v>
      </c>
      <c r="T132" s="73">
        <f>Handling_Const_EF_PM2.5_RA*('Regional data'!$U86/2.2)^1.3/(Moisture_RA*100/2)^1.4</f>
        <v>0</v>
      </c>
    </row>
    <row r="133" spans="2:20" x14ac:dyDescent="0.25">
      <c r="B133" s="69">
        <f>'Regional data'!B87</f>
        <v>0</v>
      </c>
      <c r="C133" s="141">
        <f>'Regional data'!F87*Prod_CR*Size_dist_LQ_CR</f>
        <v>0</v>
      </c>
      <c r="D133" s="142">
        <f>'Regional data'!G87*Prod_CR*Size_dist_MQ_CR</f>
        <v>0</v>
      </c>
      <c r="E133" s="142">
        <f>'Regional data'!H87*Prod_CR*Size_dist_SQ_CR</f>
        <v>0</v>
      </c>
      <c r="F133" s="71">
        <f>Handling_Const_EF_TSP_CR*('Regional data'!$U87/2.2)^1.3/(Moisture_CR*100/2)^1.4</f>
        <v>0</v>
      </c>
      <c r="G133" s="71">
        <f>Handling_Const_EF_PM10_CR*('Regional data'!$U87/2.2)^1.3/(Moisture_CR*100/2)^1.4</f>
        <v>0</v>
      </c>
      <c r="H133" s="72">
        <f>Handling_Const_EF_PM2.5_CR*('Regional data'!$U87/2.2)^1.3/(Moisture_CR*100/2)^1.4</f>
        <v>0</v>
      </c>
      <c r="I133" s="141">
        <f>'Regional data'!L87*Prod_SG*Size_dist_LQ_SG</f>
        <v>0</v>
      </c>
      <c r="J133" s="142">
        <f>'Regional data'!M87*Prod_SG*Size_dist_MQ_SG</f>
        <v>0</v>
      </c>
      <c r="K133" s="142">
        <f>'Regional data'!N87*Prod_SG*Size_dist_SQ_SG</f>
        <v>0</v>
      </c>
      <c r="L133" s="71">
        <f>Handling_Const_EF_TSP_SG*('Regional data'!$U87/2.2)^1.3/(Moisture_SG*100/2)^1.4</f>
        <v>0</v>
      </c>
      <c r="M133" s="71">
        <f>Handling_Const_EF_PM10_SG*('Regional data'!$U87/2.2)^1.3/(Moisture_SG*100/2)^1.4</f>
        <v>0</v>
      </c>
      <c r="N133" s="73">
        <f>Handling_Const_EF_PM2.5_SG*('Regional data'!$U87/2.2)^1.3/(Moisture_SG*100/2)^1.4</f>
        <v>0</v>
      </c>
      <c r="O133" s="141">
        <f>'Regional data'!R87*Prod_RA*Size_dist_LQ_RA</f>
        <v>0</v>
      </c>
      <c r="P133" s="142">
        <f>'Regional data'!S87*Prod_RA*Size_dist_MQ_RA</f>
        <v>0</v>
      </c>
      <c r="Q133" s="142">
        <f>'Regional data'!T87*Prod_RA*Size_dist_SQ_RA</f>
        <v>0</v>
      </c>
      <c r="R133" s="71">
        <f>Handling_Const_EF_TSP_RA*('Regional data'!$U87/2.2)^1.3/(Moisture_RA*100/2)^1.4</f>
        <v>0</v>
      </c>
      <c r="S133" s="71">
        <f>Handling_Const_EF_PM10_RA*('Regional data'!$U87/2.2)^1.3/(Moisture_RA*100/2)^1.4</f>
        <v>0</v>
      </c>
      <c r="T133" s="73">
        <f>Handling_Const_EF_PM2.5_RA*('Regional data'!$U87/2.2)^1.3/(Moisture_RA*100/2)^1.4</f>
        <v>0</v>
      </c>
    </row>
    <row r="134" spans="2:20" x14ac:dyDescent="0.25">
      <c r="B134" s="69">
        <f>'Regional data'!B88</f>
        <v>0</v>
      </c>
      <c r="C134" s="141">
        <f>'Regional data'!F88*Prod_CR*Size_dist_LQ_CR</f>
        <v>0</v>
      </c>
      <c r="D134" s="142">
        <f>'Regional data'!G88*Prod_CR*Size_dist_MQ_CR</f>
        <v>0</v>
      </c>
      <c r="E134" s="142">
        <f>'Regional data'!H88*Prod_CR*Size_dist_SQ_CR</f>
        <v>0</v>
      </c>
      <c r="F134" s="71">
        <f>Handling_Const_EF_TSP_CR*('Regional data'!$U88/2.2)^1.3/(Moisture_CR*100/2)^1.4</f>
        <v>0</v>
      </c>
      <c r="G134" s="71">
        <f>Handling_Const_EF_PM10_CR*('Regional data'!$U88/2.2)^1.3/(Moisture_CR*100/2)^1.4</f>
        <v>0</v>
      </c>
      <c r="H134" s="72">
        <f>Handling_Const_EF_PM2.5_CR*('Regional data'!$U88/2.2)^1.3/(Moisture_CR*100/2)^1.4</f>
        <v>0</v>
      </c>
      <c r="I134" s="141">
        <f>'Regional data'!L88*Prod_SG*Size_dist_LQ_SG</f>
        <v>0</v>
      </c>
      <c r="J134" s="142">
        <f>'Regional data'!M88*Prod_SG*Size_dist_MQ_SG</f>
        <v>0</v>
      </c>
      <c r="K134" s="142">
        <f>'Regional data'!N88*Prod_SG*Size_dist_SQ_SG</f>
        <v>0</v>
      </c>
      <c r="L134" s="71">
        <f>Handling_Const_EF_TSP_SG*('Regional data'!$U88/2.2)^1.3/(Moisture_SG*100/2)^1.4</f>
        <v>0</v>
      </c>
      <c r="M134" s="71">
        <f>Handling_Const_EF_PM10_SG*('Regional data'!$U88/2.2)^1.3/(Moisture_SG*100/2)^1.4</f>
        <v>0</v>
      </c>
      <c r="N134" s="73">
        <f>Handling_Const_EF_PM2.5_SG*('Regional data'!$U88/2.2)^1.3/(Moisture_SG*100/2)^1.4</f>
        <v>0</v>
      </c>
      <c r="O134" s="141">
        <f>'Regional data'!R88*Prod_RA*Size_dist_LQ_RA</f>
        <v>0</v>
      </c>
      <c r="P134" s="142">
        <f>'Regional data'!S88*Prod_RA*Size_dist_MQ_RA</f>
        <v>0</v>
      </c>
      <c r="Q134" s="142">
        <f>'Regional data'!T88*Prod_RA*Size_dist_SQ_RA</f>
        <v>0</v>
      </c>
      <c r="R134" s="71">
        <f>Handling_Const_EF_TSP_RA*('Regional data'!$U88/2.2)^1.3/(Moisture_RA*100/2)^1.4</f>
        <v>0</v>
      </c>
      <c r="S134" s="71">
        <f>Handling_Const_EF_PM10_RA*('Regional data'!$U88/2.2)^1.3/(Moisture_RA*100/2)^1.4</f>
        <v>0</v>
      </c>
      <c r="T134" s="73">
        <f>Handling_Const_EF_PM2.5_RA*('Regional data'!$U88/2.2)^1.3/(Moisture_RA*100/2)^1.4</f>
        <v>0</v>
      </c>
    </row>
    <row r="135" spans="2:20" x14ac:dyDescent="0.25">
      <c r="B135" s="69">
        <f>'Regional data'!B89</f>
        <v>0</v>
      </c>
      <c r="C135" s="141">
        <f>'Regional data'!F89*Prod_CR*Size_dist_LQ_CR</f>
        <v>0</v>
      </c>
      <c r="D135" s="142">
        <f>'Regional data'!G89*Prod_CR*Size_dist_MQ_CR</f>
        <v>0</v>
      </c>
      <c r="E135" s="142">
        <f>'Regional data'!H89*Prod_CR*Size_dist_SQ_CR</f>
        <v>0</v>
      </c>
      <c r="F135" s="71">
        <f>Handling_Const_EF_TSP_CR*('Regional data'!$U89/2.2)^1.3/(Moisture_CR*100/2)^1.4</f>
        <v>0</v>
      </c>
      <c r="G135" s="71">
        <f>Handling_Const_EF_PM10_CR*('Regional data'!$U89/2.2)^1.3/(Moisture_CR*100/2)^1.4</f>
        <v>0</v>
      </c>
      <c r="H135" s="72">
        <f>Handling_Const_EF_PM2.5_CR*('Regional data'!$U89/2.2)^1.3/(Moisture_CR*100/2)^1.4</f>
        <v>0</v>
      </c>
      <c r="I135" s="141">
        <f>'Regional data'!L89*Prod_SG*Size_dist_LQ_SG</f>
        <v>0</v>
      </c>
      <c r="J135" s="142">
        <f>'Regional data'!M89*Prod_SG*Size_dist_MQ_SG</f>
        <v>0</v>
      </c>
      <c r="K135" s="142">
        <f>'Regional data'!N89*Prod_SG*Size_dist_SQ_SG</f>
        <v>0</v>
      </c>
      <c r="L135" s="71">
        <f>Handling_Const_EF_TSP_SG*('Regional data'!$U89/2.2)^1.3/(Moisture_SG*100/2)^1.4</f>
        <v>0</v>
      </c>
      <c r="M135" s="71">
        <f>Handling_Const_EF_PM10_SG*('Regional data'!$U89/2.2)^1.3/(Moisture_SG*100/2)^1.4</f>
        <v>0</v>
      </c>
      <c r="N135" s="73">
        <f>Handling_Const_EF_PM2.5_SG*('Regional data'!$U89/2.2)^1.3/(Moisture_SG*100/2)^1.4</f>
        <v>0</v>
      </c>
      <c r="O135" s="141">
        <f>'Regional data'!R89*Prod_RA*Size_dist_LQ_RA</f>
        <v>0</v>
      </c>
      <c r="P135" s="142">
        <f>'Regional data'!S89*Prod_RA*Size_dist_MQ_RA</f>
        <v>0</v>
      </c>
      <c r="Q135" s="142">
        <f>'Regional data'!T89*Prod_RA*Size_dist_SQ_RA</f>
        <v>0</v>
      </c>
      <c r="R135" s="71">
        <f>Handling_Const_EF_TSP_RA*('Regional data'!$U89/2.2)^1.3/(Moisture_RA*100/2)^1.4</f>
        <v>0</v>
      </c>
      <c r="S135" s="71">
        <f>Handling_Const_EF_PM10_RA*('Regional data'!$U89/2.2)^1.3/(Moisture_RA*100/2)^1.4</f>
        <v>0</v>
      </c>
      <c r="T135" s="73">
        <f>Handling_Const_EF_PM2.5_RA*('Regional data'!$U89/2.2)^1.3/(Moisture_RA*100/2)^1.4</f>
        <v>0</v>
      </c>
    </row>
    <row r="136" spans="2:20" x14ac:dyDescent="0.25">
      <c r="B136" s="69">
        <f>'Regional data'!B90</f>
        <v>0</v>
      </c>
      <c r="C136" s="141">
        <f>'Regional data'!F90*Prod_CR*Size_dist_LQ_CR</f>
        <v>0</v>
      </c>
      <c r="D136" s="142">
        <f>'Regional data'!G90*Prod_CR*Size_dist_MQ_CR</f>
        <v>0</v>
      </c>
      <c r="E136" s="142">
        <f>'Regional data'!H90*Prod_CR*Size_dist_SQ_CR</f>
        <v>0</v>
      </c>
      <c r="F136" s="71">
        <f>Handling_Const_EF_TSP_CR*('Regional data'!$U90/2.2)^1.3/(Moisture_CR*100/2)^1.4</f>
        <v>0</v>
      </c>
      <c r="G136" s="71">
        <f>Handling_Const_EF_PM10_CR*('Regional data'!$U90/2.2)^1.3/(Moisture_CR*100/2)^1.4</f>
        <v>0</v>
      </c>
      <c r="H136" s="72">
        <f>Handling_Const_EF_PM2.5_CR*('Regional data'!$U90/2.2)^1.3/(Moisture_CR*100/2)^1.4</f>
        <v>0</v>
      </c>
      <c r="I136" s="141">
        <f>'Regional data'!L90*Prod_SG*Size_dist_LQ_SG</f>
        <v>0</v>
      </c>
      <c r="J136" s="142">
        <f>'Regional data'!M90*Prod_SG*Size_dist_MQ_SG</f>
        <v>0</v>
      </c>
      <c r="K136" s="142">
        <f>'Regional data'!N90*Prod_SG*Size_dist_SQ_SG</f>
        <v>0</v>
      </c>
      <c r="L136" s="71">
        <f>Handling_Const_EF_TSP_SG*('Regional data'!$U90/2.2)^1.3/(Moisture_SG*100/2)^1.4</f>
        <v>0</v>
      </c>
      <c r="M136" s="71">
        <f>Handling_Const_EF_PM10_SG*('Regional data'!$U90/2.2)^1.3/(Moisture_SG*100/2)^1.4</f>
        <v>0</v>
      </c>
      <c r="N136" s="73">
        <f>Handling_Const_EF_PM2.5_SG*('Regional data'!$U90/2.2)^1.3/(Moisture_SG*100/2)^1.4</f>
        <v>0</v>
      </c>
      <c r="O136" s="141">
        <f>'Regional data'!R90*Prod_RA*Size_dist_LQ_RA</f>
        <v>0</v>
      </c>
      <c r="P136" s="142">
        <f>'Regional data'!S90*Prod_RA*Size_dist_MQ_RA</f>
        <v>0</v>
      </c>
      <c r="Q136" s="142">
        <f>'Regional data'!T90*Prod_RA*Size_dist_SQ_RA</f>
        <v>0</v>
      </c>
      <c r="R136" s="71">
        <f>Handling_Const_EF_TSP_RA*('Regional data'!$U90/2.2)^1.3/(Moisture_RA*100/2)^1.4</f>
        <v>0</v>
      </c>
      <c r="S136" s="71">
        <f>Handling_Const_EF_PM10_RA*('Regional data'!$U90/2.2)^1.3/(Moisture_RA*100/2)^1.4</f>
        <v>0</v>
      </c>
      <c r="T136" s="73">
        <f>Handling_Const_EF_PM2.5_RA*('Regional data'!$U90/2.2)^1.3/(Moisture_RA*100/2)^1.4</f>
        <v>0</v>
      </c>
    </row>
    <row r="137" spans="2:20" x14ac:dyDescent="0.25">
      <c r="B137" s="69">
        <f>'Regional data'!B91</f>
        <v>0</v>
      </c>
      <c r="C137" s="141">
        <f>'Regional data'!F91*Prod_CR*Size_dist_LQ_CR</f>
        <v>0</v>
      </c>
      <c r="D137" s="142">
        <f>'Regional data'!G91*Prod_CR*Size_dist_MQ_CR</f>
        <v>0</v>
      </c>
      <c r="E137" s="142">
        <f>'Regional data'!H91*Prod_CR*Size_dist_SQ_CR</f>
        <v>0</v>
      </c>
      <c r="F137" s="71">
        <f>Handling_Const_EF_TSP_CR*('Regional data'!$U91/2.2)^1.3/(Moisture_CR*100/2)^1.4</f>
        <v>0</v>
      </c>
      <c r="G137" s="71">
        <f>Handling_Const_EF_PM10_CR*('Regional data'!$U91/2.2)^1.3/(Moisture_CR*100/2)^1.4</f>
        <v>0</v>
      </c>
      <c r="H137" s="72">
        <f>Handling_Const_EF_PM2.5_CR*('Regional data'!$U91/2.2)^1.3/(Moisture_CR*100/2)^1.4</f>
        <v>0</v>
      </c>
      <c r="I137" s="141">
        <f>'Regional data'!L91*Prod_SG*Size_dist_LQ_SG</f>
        <v>0</v>
      </c>
      <c r="J137" s="142">
        <f>'Regional data'!M91*Prod_SG*Size_dist_MQ_SG</f>
        <v>0</v>
      </c>
      <c r="K137" s="142">
        <f>'Regional data'!N91*Prod_SG*Size_dist_SQ_SG</f>
        <v>0</v>
      </c>
      <c r="L137" s="71">
        <f>Handling_Const_EF_TSP_SG*('Regional data'!$U91/2.2)^1.3/(Moisture_SG*100/2)^1.4</f>
        <v>0</v>
      </c>
      <c r="M137" s="71">
        <f>Handling_Const_EF_PM10_SG*('Regional data'!$U91/2.2)^1.3/(Moisture_SG*100/2)^1.4</f>
        <v>0</v>
      </c>
      <c r="N137" s="73">
        <f>Handling_Const_EF_PM2.5_SG*('Regional data'!$U91/2.2)^1.3/(Moisture_SG*100/2)^1.4</f>
        <v>0</v>
      </c>
      <c r="O137" s="141">
        <f>'Regional data'!R91*Prod_RA*Size_dist_LQ_RA</f>
        <v>0</v>
      </c>
      <c r="P137" s="142">
        <f>'Regional data'!S91*Prod_RA*Size_dist_MQ_RA</f>
        <v>0</v>
      </c>
      <c r="Q137" s="142">
        <f>'Regional data'!T91*Prod_RA*Size_dist_SQ_RA</f>
        <v>0</v>
      </c>
      <c r="R137" s="71">
        <f>Handling_Const_EF_TSP_RA*('Regional data'!$U91/2.2)^1.3/(Moisture_RA*100/2)^1.4</f>
        <v>0</v>
      </c>
      <c r="S137" s="71">
        <f>Handling_Const_EF_PM10_RA*('Regional data'!$U91/2.2)^1.3/(Moisture_RA*100/2)^1.4</f>
        <v>0</v>
      </c>
      <c r="T137" s="73">
        <f>Handling_Const_EF_PM2.5_RA*('Regional data'!$U91/2.2)^1.3/(Moisture_RA*100/2)^1.4</f>
        <v>0</v>
      </c>
    </row>
    <row r="138" spans="2:20" x14ac:dyDescent="0.25">
      <c r="B138" s="69">
        <f>'Regional data'!B92</f>
        <v>0</v>
      </c>
      <c r="C138" s="141">
        <f>'Regional data'!F92*Prod_CR*Size_dist_LQ_CR</f>
        <v>0</v>
      </c>
      <c r="D138" s="142">
        <f>'Regional data'!G92*Prod_CR*Size_dist_MQ_CR</f>
        <v>0</v>
      </c>
      <c r="E138" s="142">
        <f>'Regional data'!H92*Prod_CR*Size_dist_SQ_CR</f>
        <v>0</v>
      </c>
      <c r="F138" s="71">
        <f>Handling_Const_EF_TSP_CR*('Regional data'!$U92/2.2)^1.3/(Moisture_CR*100/2)^1.4</f>
        <v>0</v>
      </c>
      <c r="G138" s="71">
        <f>Handling_Const_EF_PM10_CR*('Regional data'!$U92/2.2)^1.3/(Moisture_CR*100/2)^1.4</f>
        <v>0</v>
      </c>
      <c r="H138" s="72">
        <f>Handling_Const_EF_PM2.5_CR*('Regional data'!$U92/2.2)^1.3/(Moisture_CR*100/2)^1.4</f>
        <v>0</v>
      </c>
      <c r="I138" s="141">
        <f>'Regional data'!L92*Prod_SG*Size_dist_LQ_SG</f>
        <v>0</v>
      </c>
      <c r="J138" s="142">
        <f>'Regional data'!M92*Prod_SG*Size_dist_MQ_SG</f>
        <v>0</v>
      </c>
      <c r="K138" s="142">
        <f>'Regional data'!N92*Prod_SG*Size_dist_SQ_SG</f>
        <v>0</v>
      </c>
      <c r="L138" s="71">
        <f>Handling_Const_EF_TSP_SG*('Regional data'!$U92/2.2)^1.3/(Moisture_SG*100/2)^1.4</f>
        <v>0</v>
      </c>
      <c r="M138" s="71">
        <f>Handling_Const_EF_PM10_SG*('Regional data'!$U92/2.2)^1.3/(Moisture_SG*100/2)^1.4</f>
        <v>0</v>
      </c>
      <c r="N138" s="73">
        <f>Handling_Const_EF_PM2.5_SG*('Regional data'!$U92/2.2)^1.3/(Moisture_SG*100/2)^1.4</f>
        <v>0</v>
      </c>
      <c r="O138" s="141">
        <f>'Regional data'!R92*Prod_RA*Size_dist_LQ_RA</f>
        <v>0</v>
      </c>
      <c r="P138" s="142">
        <f>'Regional data'!S92*Prod_RA*Size_dist_MQ_RA</f>
        <v>0</v>
      </c>
      <c r="Q138" s="142">
        <f>'Regional data'!T92*Prod_RA*Size_dist_SQ_RA</f>
        <v>0</v>
      </c>
      <c r="R138" s="71">
        <f>Handling_Const_EF_TSP_RA*('Regional data'!$U92/2.2)^1.3/(Moisture_RA*100/2)^1.4</f>
        <v>0</v>
      </c>
      <c r="S138" s="71">
        <f>Handling_Const_EF_PM10_RA*('Regional data'!$U92/2.2)^1.3/(Moisture_RA*100/2)^1.4</f>
        <v>0</v>
      </c>
      <c r="T138" s="73">
        <f>Handling_Const_EF_PM2.5_RA*('Regional data'!$U92/2.2)^1.3/(Moisture_RA*100/2)^1.4</f>
        <v>0</v>
      </c>
    </row>
    <row r="139" spans="2:20" x14ac:dyDescent="0.25">
      <c r="B139" s="69">
        <f>'Regional data'!B93</f>
        <v>0</v>
      </c>
      <c r="C139" s="141">
        <f>'Regional data'!F93*Prod_CR*Size_dist_LQ_CR</f>
        <v>0</v>
      </c>
      <c r="D139" s="142">
        <f>'Regional data'!G93*Prod_CR*Size_dist_MQ_CR</f>
        <v>0</v>
      </c>
      <c r="E139" s="142">
        <f>'Regional data'!H93*Prod_CR*Size_dist_SQ_CR</f>
        <v>0</v>
      </c>
      <c r="F139" s="71">
        <f>Handling_Const_EF_TSP_CR*('Regional data'!$U93/2.2)^1.3/(Moisture_CR*100/2)^1.4</f>
        <v>0</v>
      </c>
      <c r="G139" s="71">
        <f>Handling_Const_EF_PM10_CR*('Regional data'!$U93/2.2)^1.3/(Moisture_CR*100/2)^1.4</f>
        <v>0</v>
      </c>
      <c r="H139" s="72">
        <f>Handling_Const_EF_PM2.5_CR*('Regional data'!$U93/2.2)^1.3/(Moisture_CR*100/2)^1.4</f>
        <v>0</v>
      </c>
      <c r="I139" s="141">
        <f>'Regional data'!L93*Prod_SG*Size_dist_LQ_SG</f>
        <v>0</v>
      </c>
      <c r="J139" s="142">
        <f>'Regional data'!M93*Prod_SG*Size_dist_MQ_SG</f>
        <v>0</v>
      </c>
      <c r="K139" s="142">
        <f>'Regional data'!N93*Prod_SG*Size_dist_SQ_SG</f>
        <v>0</v>
      </c>
      <c r="L139" s="71">
        <f>Handling_Const_EF_TSP_SG*('Regional data'!$U93/2.2)^1.3/(Moisture_SG*100/2)^1.4</f>
        <v>0</v>
      </c>
      <c r="M139" s="71">
        <f>Handling_Const_EF_PM10_SG*('Regional data'!$U93/2.2)^1.3/(Moisture_SG*100/2)^1.4</f>
        <v>0</v>
      </c>
      <c r="N139" s="73">
        <f>Handling_Const_EF_PM2.5_SG*('Regional data'!$U93/2.2)^1.3/(Moisture_SG*100/2)^1.4</f>
        <v>0</v>
      </c>
      <c r="O139" s="141">
        <f>'Regional data'!R93*Prod_RA*Size_dist_LQ_RA</f>
        <v>0</v>
      </c>
      <c r="P139" s="142">
        <f>'Regional data'!S93*Prod_RA*Size_dist_MQ_RA</f>
        <v>0</v>
      </c>
      <c r="Q139" s="142">
        <f>'Regional data'!T93*Prod_RA*Size_dist_SQ_RA</f>
        <v>0</v>
      </c>
      <c r="R139" s="71">
        <f>Handling_Const_EF_TSP_RA*('Regional data'!$U93/2.2)^1.3/(Moisture_RA*100/2)^1.4</f>
        <v>0</v>
      </c>
      <c r="S139" s="71">
        <f>Handling_Const_EF_PM10_RA*('Regional data'!$U93/2.2)^1.3/(Moisture_RA*100/2)^1.4</f>
        <v>0</v>
      </c>
      <c r="T139" s="73">
        <f>Handling_Const_EF_PM2.5_RA*('Regional data'!$U93/2.2)^1.3/(Moisture_RA*100/2)^1.4</f>
        <v>0</v>
      </c>
    </row>
    <row r="140" spans="2:20" x14ac:dyDescent="0.25">
      <c r="B140" s="69">
        <f>'Regional data'!B94</f>
        <v>0</v>
      </c>
      <c r="C140" s="141">
        <f>'Regional data'!F94*Prod_CR*Size_dist_LQ_CR</f>
        <v>0</v>
      </c>
      <c r="D140" s="142">
        <f>'Regional data'!G94*Prod_CR*Size_dist_MQ_CR</f>
        <v>0</v>
      </c>
      <c r="E140" s="142">
        <f>'Regional data'!H94*Prod_CR*Size_dist_SQ_CR</f>
        <v>0</v>
      </c>
      <c r="F140" s="71">
        <f>Handling_Const_EF_TSP_CR*('Regional data'!$U94/2.2)^1.3/(Moisture_CR*100/2)^1.4</f>
        <v>0</v>
      </c>
      <c r="G140" s="71">
        <f>Handling_Const_EF_PM10_CR*('Regional data'!$U94/2.2)^1.3/(Moisture_CR*100/2)^1.4</f>
        <v>0</v>
      </c>
      <c r="H140" s="72">
        <f>Handling_Const_EF_PM2.5_CR*('Regional data'!$U94/2.2)^1.3/(Moisture_CR*100/2)^1.4</f>
        <v>0</v>
      </c>
      <c r="I140" s="141">
        <f>'Regional data'!L94*Prod_SG*Size_dist_LQ_SG</f>
        <v>0</v>
      </c>
      <c r="J140" s="142">
        <f>'Regional data'!M94*Prod_SG*Size_dist_MQ_SG</f>
        <v>0</v>
      </c>
      <c r="K140" s="142">
        <f>'Regional data'!N94*Prod_SG*Size_dist_SQ_SG</f>
        <v>0</v>
      </c>
      <c r="L140" s="71">
        <f>Handling_Const_EF_TSP_SG*('Regional data'!$U94/2.2)^1.3/(Moisture_SG*100/2)^1.4</f>
        <v>0</v>
      </c>
      <c r="M140" s="71">
        <f>Handling_Const_EF_PM10_SG*('Regional data'!$U94/2.2)^1.3/(Moisture_SG*100/2)^1.4</f>
        <v>0</v>
      </c>
      <c r="N140" s="73">
        <f>Handling_Const_EF_PM2.5_SG*('Regional data'!$U94/2.2)^1.3/(Moisture_SG*100/2)^1.4</f>
        <v>0</v>
      </c>
      <c r="O140" s="141">
        <f>'Regional data'!R94*Prod_RA*Size_dist_LQ_RA</f>
        <v>0</v>
      </c>
      <c r="P140" s="142">
        <f>'Regional data'!S94*Prod_RA*Size_dist_MQ_RA</f>
        <v>0</v>
      </c>
      <c r="Q140" s="142">
        <f>'Regional data'!T94*Prod_RA*Size_dist_SQ_RA</f>
        <v>0</v>
      </c>
      <c r="R140" s="71">
        <f>Handling_Const_EF_TSP_RA*('Regional data'!$U94/2.2)^1.3/(Moisture_RA*100/2)^1.4</f>
        <v>0</v>
      </c>
      <c r="S140" s="71">
        <f>Handling_Const_EF_PM10_RA*('Regional data'!$U94/2.2)^1.3/(Moisture_RA*100/2)^1.4</f>
        <v>0</v>
      </c>
      <c r="T140" s="73">
        <f>Handling_Const_EF_PM2.5_RA*('Regional data'!$U94/2.2)^1.3/(Moisture_RA*100/2)^1.4</f>
        <v>0</v>
      </c>
    </row>
    <row r="141" spans="2:20" x14ac:dyDescent="0.25">
      <c r="B141" s="69">
        <f>'Regional data'!B95</f>
        <v>0</v>
      </c>
      <c r="C141" s="141">
        <f>'Regional data'!F95*Prod_CR*Size_dist_LQ_CR</f>
        <v>0</v>
      </c>
      <c r="D141" s="142">
        <f>'Regional data'!G95*Prod_CR*Size_dist_MQ_CR</f>
        <v>0</v>
      </c>
      <c r="E141" s="142">
        <f>'Regional data'!H95*Prod_CR*Size_dist_SQ_CR</f>
        <v>0</v>
      </c>
      <c r="F141" s="71">
        <f>Handling_Const_EF_TSP_CR*('Regional data'!$U95/2.2)^1.3/(Moisture_CR*100/2)^1.4</f>
        <v>0</v>
      </c>
      <c r="G141" s="71">
        <f>Handling_Const_EF_PM10_CR*('Regional data'!$U95/2.2)^1.3/(Moisture_CR*100/2)^1.4</f>
        <v>0</v>
      </c>
      <c r="H141" s="72">
        <f>Handling_Const_EF_PM2.5_CR*('Regional data'!$U95/2.2)^1.3/(Moisture_CR*100/2)^1.4</f>
        <v>0</v>
      </c>
      <c r="I141" s="141">
        <f>'Regional data'!L95*Prod_SG*Size_dist_LQ_SG</f>
        <v>0</v>
      </c>
      <c r="J141" s="142">
        <f>'Regional data'!M95*Prod_SG*Size_dist_MQ_SG</f>
        <v>0</v>
      </c>
      <c r="K141" s="142">
        <f>'Regional data'!N95*Prod_SG*Size_dist_SQ_SG</f>
        <v>0</v>
      </c>
      <c r="L141" s="71">
        <f>Handling_Const_EF_TSP_SG*('Regional data'!$U95/2.2)^1.3/(Moisture_SG*100/2)^1.4</f>
        <v>0</v>
      </c>
      <c r="M141" s="71">
        <f>Handling_Const_EF_PM10_SG*('Regional data'!$U95/2.2)^1.3/(Moisture_SG*100/2)^1.4</f>
        <v>0</v>
      </c>
      <c r="N141" s="73">
        <f>Handling_Const_EF_PM2.5_SG*('Regional data'!$U95/2.2)^1.3/(Moisture_SG*100/2)^1.4</f>
        <v>0</v>
      </c>
      <c r="O141" s="141">
        <f>'Regional data'!R95*Prod_RA*Size_dist_LQ_RA</f>
        <v>0</v>
      </c>
      <c r="P141" s="142">
        <f>'Regional data'!S95*Prod_RA*Size_dist_MQ_RA</f>
        <v>0</v>
      </c>
      <c r="Q141" s="142">
        <f>'Regional data'!T95*Prod_RA*Size_dist_SQ_RA</f>
        <v>0</v>
      </c>
      <c r="R141" s="71">
        <f>Handling_Const_EF_TSP_RA*('Regional data'!$U95/2.2)^1.3/(Moisture_RA*100/2)^1.4</f>
        <v>0</v>
      </c>
      <c r="S141" s="71">
        <f>Handling_Const_EF_PM10_RA*('Regional data'!$U95/2.2)^1.3/(Moisture_RA*100/2)^1.4</f>
        <v>0</v>
      </c>
      <c r="T141" s="73">
        <f>Handling_Const_EF_PM2.5_RA*('Regional data'!$U95/2.2)^1.3/(Moisture_RA*100/2)^1.4</f>
        <v>0</v>
      </c>
    </row>
    <row r="142" spans="2:20" x14ac:dyDescent="0.25">
      <c r="B142" s="69">
        <f>'Regional data'!B96</f>
        <v>0</v>
      </c>
      <c r="C142" s="141">
        <f>'Regional data'!F96*Prod_CR*Size_dist_LQ_CR</f>
        <v>0</v>
      </c>
      <c r="D142" s="142">
        <f>'Regional data'!G96*Prod_CR*Size_dist_MQ_CR</f>
        <v>0</v>
      </c>
      <c r="E142" s="142">
        <f>'Regional data'!H96*Prod_CR*Size_dist_SQ_CR</f>
        <v>0</v>
      </c>
      <c r="F142" s="71">
        <f>Handling_Const_EF_TSP_CR*('Regional data'!$U96/2.2)^1.3/(Moisture_CR*100/2)^1.4</f>
        <v>0</v>
      </c>
      <c r="G142" s="71">
        <f>Handling_Const_EF_PM10_CR*('Regional data'!$U96/2.2)^1.3/(Moisture_CR*100/2)^1.4</f>
        <v>0</v>
      </c>
      <c r="H142" s="72">
        <f>Handling_Const_EF_PM2.5_CR*('Regional data'!$U96/2.2)^1.3/(Moisture_CR*100/2)^1.4</f>
        <v>0</v>
      </c>
      <c r="I142" s="141">
        <f>'Regional data'!L96*Prod_SG*Size_dist_LQ_SG</f>
        <v>0</v>
      </c>
      <c r="J142" s="142">
        <f>'Regional data'!M96*Prod_SG*Size_dist_MQ_SG</f>
        <v>0</v>
      </c>
      <c r="K142" s="142">
        <f>'Regional data'!N96*Prod_SG*Size_dist_SQ_SG</f>
        <v>0</v>
      </c>
      <c r="L142" s="71">
        <f>Handling_Const_EF_TSP_SG*('Regional data'!$U96/2.2)^1.3/(Moisture_SG*100/2)^1.4</f>
        <v>0</v>
      </c>
      <c r="M142" s="71">
        <f>Handling_Const_EF_PM10_SG*('Regional data'!$U96/2.2)^1.3/(Moisture_SG*100/2)^1.4</f>
        <v>0</v>
      </c>
      <c r="N142" s="73">
        <f>Handling_Const_EF_PM2.5_SG*('Regional data'!$U96/2.2)^1.3/(Moisture_SG*100/2)^1.4</f>
        <v>0</v>
      </c>
      <c r="O142" s="141">
        <f>'Regional data'!R96*Prod_RA*Size_dist_LQ_RA</f>
        <v>0</v>
      </c>
      <c r="P142" s="142">
        <f>'Regional data'!S96*Prod_RA*Size_dist_MQ_RA</f>
        <v>0</v>
      </c>
      <c r="Q142" s="142">
        <f>'Regional data'!T96*Prod_RA*Size_dist_SQ_RA</f>
        <v>0</v>
      </c>
      <c r="R142" s="71">
        <f>Handling_Const_EF_TSP_RA*('Regional data'!$U96/2.2)^1.3/(Moisture_RA*100/2)^1.4</f>
        <v>0</v>
      </c>
      <c r="S142" s="71">
        <f>Handling_Const_EF_PM10_RA*('Regional data'!$U96/2.2)^1.3/(Moisture_RA*100/2)^1.4</f>
        <v>0</v>
      </c>
      <c r="T142" s="73">
        <f>Handling_Const_EF_PM2.5_RA*('Regional data'!$U96/2.2)^1.3/(Moisture_RA*100/2)^1.4</f>
        <v>0</v>
      </c>
    </row>
    <row r="143" spans="2:20" x14ac:dyDescent="0.25">
      <c r="B143" s="69">
        <f>'Regional data'!B97</f>
        <v>0</v>
      </c>
      <c r="C143" s="141">
        <f>'Regional data'!F97*Prod_CR*Size_dist_LQ_CR</f>
        <v>0</v>
      </c>
      <c r="D143" s="142">
        <f>'Regional data'!G97*Prod_CR*Size_dist_MQ_CR</f>
        <v>0</v>
      </c>
      <c r="E143" s="142">
        <f>'Regional data'!H97*Prod_CR*Size_dist_SQ_CR</f>
        <v>0</v>
      </c>
      <c r="F143" s="71">
        <f>Handling_Const_EF_TSP_CR*('Regional data'!$U97/2.2)^1.3/(Moisture_CR*100/2)^1.4</f>
        <v>0</v>
      </c>
      <c r="G143" s="71">
        <f>Handling_Const_EF_PM10_CR*('Regional data'!$U97/2.2)^1.3/(Moisture_CR*100/2)^1.4</f>
        <v>0</v>
      </c>
      <c r="H143" s="72">
        <f>Handling_Const_EF_PM2.5_CR*('Regional data'!$U97/2.2)^1.3/(Moisture_CR*100/2)^1.4</f>
        <v>0</v>
      </c>
      <c r="I143" s="141">
        <f>'Regional data'!L97*Prod_SG*Size_dist_LQ_SG</f>
        <v>0</v>
      </c>
      <c r="J143" s="142">
        <f>'Regional data'!M97*Prod_SG*Size_dist_MQ_SG</f>
        <v>0</v>
      </c>
      <c r="K143" s="142">
        <f>'Regional data'!N97*Prod_SG*Size_dist_SQ_SG</f>
        <v>0</v>
      </c>
      <c r="L143" s="71">
        <f>Handling_Const_EF_TSP_SG*('Regional data'!$U97/2.2)^1.3/(Moisture_SG*100/2)^1.4</f>
        <v>0</v>
      </c>
      <c r="M143" s="71">
        <f>Handling_Const_EF_PM10_SG*('Regional data'!$U97/2.2)^1.3/(Moisture_SG*100/2)^1.4</f>
        <v>0</v>
      </c>
      <c r="N143" s="73">
        <f>Handling_Const_EF_PM2.5_SG*('Regional data'!$U97/2.2)^1.3/(Moisture_SG*100/2)^1.4</f>
        <v>0</v>
      </c>
      <c r="O143" s="141">
        <f>'Regional data'!R97*Prod_RA*Size_dist_LQ_RA</f>
        <v>0</v>
      </c>
      <c r="P143" s="142">
        <f>'Regional data'!S97*Prod_RA*Size_dist_MQ_RA</f>
        <v>0</v>
      </c>
      <c r="Q143" s="142">
        <f>'Regional data'!T97*Prod_RA*Size_dist_SQ_RA</f>
        <v>0</v>
      </c>
      <c r="R143" s="71">
        <f>Handling_Const_EF_TSP_RA*('Regional data'!$U97/2.2)^1.3/(Moisture_RA*100/2)^1.4</f>
        <v>0</v>
      </c>
      <c r="S143" s="71">
        <f>Handling_Const_EF_PM10_RA*('Regional data'!$U97/2.2)^1.3/(Moisture_RA*100/2)^1.4</f>
        <v>0</v>
      </c>
      <c r="T143" s="73">
        <f>Handling_Const_EF_PM2.5_RA*('Regional data'!$U97/2.2)^1.3/(Moisture_RA*100/2)^1.4</f>
        <v>0</v>
      </c>
    </row>
    <row r="144" spans="2:20" ht="15.75" thickBot="1" x14ac:dyDescent="0.3">
      <c r="B144" s="70">
        <f>'Regional data'!B98</f>
        <v>0</v>
      </c>
      <c r="C144" s="143">
        <f>'Regional data'!F98*Prod_CR*Size_dist_LQ_CR</f>
        <v>0</v>
      </c>
      <c r="D144" s="144">
        <f>'Regional data'!G98*Prod_CR*Size_dist_MQ_CR</f>
        <v>0</v>
      </c>
      <c r="E144" s="144">
        <f>'Regional data'!H98*Prod_CR*Size_dist_SQ_CR</f>
        <v>0</v>
      </c>
      <c r="F144" s="74">
        <f>Handling_Const_EF_TSP_CR*('Regional data'!$U98/2.2)^1.3/(Moisture_CR*100/2)^1.4</f>
        <v>0</v>
      </c>
      <c r="G144" s="74">
        <f>Handling_Const_EF_PM10_CR*('Regional data'!$U98/2.2)^1.3/(Moisture_CR*100/2)^1.4</f>
        <v>0</v>
      </c>
      <c r="H144" s="75">
        <f>Handling_Const_EF_PM2.5_CR*('Regional data'!$U98/2.2)^1.3/(Moisture_CR*100/2)^1.4</f>
        <v>0</v>
      </c>
      <c r="I144" s="143">
        <f>'Regional data'!L98*Prod_SG*Size_dist_LQ_SG</f>
        <v>0</v>
      </c>
      <c r="J144" s="144">
        <f>'Regional data'!M98*Prod_SG*Size_dist_MQ_SG</f>
        <v>0</v>
      </c>
      <c r="K144" s="144">
        <f>'Regional data'!N98*Prod_SG*Size_dist_SQ_SG</f>
        <v>0</v>
      </c>
      <c r="L144" s="74">
        <f>Handling_Const_EF_TSP_SG*('Regional data'!$U98/2.2)^1.3/(Moisture_SG*100/2)^1.4</f>
        <v>0</v>
      </c>
      <c r="M144" s="74">
        <f>Handling_Const_EF_PM10_SG*('Regional data'!$U98/2.2)^1.3/(Moisture_SG*100/2)^1.4</f>
        <v>0</v>
      </c>
      <c r="N144" s="76">
        <f>Handling_Const_EF_PM2.5_SG*('Regional data'!$U98/2.2)^1.3/(Moisture_SG*100/2)^1.4</f>
        <v>0</v>
      </c>
      <c r="O144" s="143">
        <f>'Regional data'!R98*Prod_RA*Size_dist_LQ_RA</f>
        <v>0</v>
      </c>
      <c r="P144" s="144">
        <f>'Regional data'!S98*Prod_RA*Size_dist_MQ_RA</f>
        <v>0</v>
      </c>
      <c r="Q144" s="144">
        <f>'Regional data'!T98*Prod_RA*Size_dist_SQ_RA</f>
        <v>0</v>
      </c>
      <c r="R144" s="74">
        <f>Handling_Const_EF_TSP_RA*('Regional data'!$U98/2.2)^1.3/(Moisture_RA*100/2)^1.4</f>
        <v>0</v>
      </c>
      <c r="S144" s="74">
        <f>Handling_Const_EF_PM10_RA*('Regional data'!$U98/2.2)^1.3/(Moisture_RA*100/2)^1.4</f>
        <v>0</v>
      </c>
      <c r="T144" s="76">
        <f>Handling_Const_EF_PM2.5_RA*('Regional data'!$U98/2.2)^1.3/(Moisture_RA*100/2)^1.4</f>
        <v>0</v>
      </c>
    </row>
    <row r="145" ht="15.75" thickTop="1" x14ac:dyDescent="0.25"/>
  </sheetData>
  <mergeCells count="10">
    <mergeCell ref="O47:T47"/>
    <mergeCell ref="B3:G14"/>
    <mergeCell ref="A16:G16"/>
    <mergeCell ref="A1:G1"/>
    <mergeCell ref="A45:T45"/>
    <mergeCell ref="C47:H47"/>
    <mergeCell ref="I47:N47"/>
    <mergeCell ref="C18:F18"/>
    <mergeCell ref="C27:F27"/>
    <mergeCell ref="C36:F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355</vt:i4>
      </vt:variant>
    </vt:vector>
  </HeadingPairs>
  <TitlesOfParts>
    <vt:vector size="365" baseType="lpstr">
      <vt:lpstr>Method and references</vt:lpstr>
      <vt:lpstr>Case results</vt:lpstr>
      <vt:lpstr>EF per step</vt:lpstr>
      <vt:lpstr>Data input and defaults</vt:lpstr>
      <vt:lpstr>Regional data</vt:lpstr>
      <vt:lpstr>1 - DRILLING AND BLASTING</vt:lpstr>
      <vt:lpstr>2 - MATERIAL PROCESSING</vt:lpstr>
      <vt:lpstr>3 - INTERNAL TRANSPORT</vt:lpstr>
      <vt:lpstr>4 - MATERIAL HANDLING OPERATION</vt:lpstr>
      <vt:lpstr>5 - STOCKPILES</vt:lpstr>
      <vt:lpstr>AeroDyn_Factor_PM10_CR</vt:lpstr>
      <vt:lpstr>AeroDyn_Factor_PM10_RA</vt:lpstr>
      <vt:lpstr>AeroDyn_Factor_PM10_SG</vt:lpstr>
      <vt:lpstr>AeroDyn_Factor_PM2.5_CR</vt:lpstr>
      <vt:lpstr>AeroDyn_Factor_PM2.5_RA</vt:lpstr>
      <vt:lpstr>AeroDyn_Factor_PM2.5_SG</vt:lpstr>
      <vt:lpstr>AeroDyn_Factor_TSP_CR</vt:lpstr>
      <vt:lpstr>AeroDyn_Factor_TSP_RA</vt:lpstr>
      <vt:lpstr>AeroDyn_Factor_TSP_SG</vt:lpstr>
      <vt:lpstr>Angle_CR</vt:lpstr>
      <vt:lpstr>Angle_RA</vt:lpstr>
      <vt:lpstr>Angle_SG</vt:lpstr>
      <vt:lpstr>Coeff_wind_Erosion_CR</vt:lpstr>
      <vt:lpstr>Coeff_wind_Erosion_RA</vt:lpstr>
      <vt:lpstr>Coeff_wind_Erosion_SG</vt:lpstr>
      <vt:lpstr>Crush_Aba_DP_LQ_CR</vt:lpstr>
      <vt:lpstr>Crush_Aba_DP_LQ_RA</vt:lpstr>
      <vt:lpstr>Crush_Aba_DP_LQ_SG</vt:lpstr>
      <vt:lpstr>Crush_Aba_DP_MQ_CR</vt:lpstr>
      <vt:lpstr>Crush_Aba_DP_MQ_RA</vt:lpstr>
      <vt:lpstr>Crush_Aba_DP_MQ_SG</vt:lpstr>
      <vt:lpstr>Crush_Aba_DP_SQ_CR</vt:lpstr>
      <vt:lpstr>Crush_Aba_DP_SQ_RA</vt:lpstr>
      <vt:lpstr>Crush_Aba_DP_SQ_SG</vt:lpstr>
      <vt:lpstr>Crush_Aba_WP_LQ_CR</vt:lpstr>
      <vt:lpstr>Crush_Aba_WP_LQ_RA</vt:lpstr>
      <vt:lpstr>Crush_Aba_WP_LQ_SG</vt:lpstr>
      <vt:lpstr>Crush_Aba_WP_MQ_CR</vt:lpstr>
      <vt:lpstr>Crush_Aba_WP_MQ_RA</vt:lpstr>
      <vt:lpstr>Crush_Aba_WP_MQ_SG</vt:lpstr>
      <vt:lpstr>Crush_Aba_WP_SQ_CR</vt:lpstr>
      <vt:lpstr>Crush_Aba_WP_SQ_RA</vt:lpstr>
      <vt:lpstr>Crush_Aba_WP_SQ_SG</vt:lpstr>
      <vt:lpstr>Density</vt:lpstr>
      <vt:lpstr>Density_stockpiles_CR</vt:lpstr>
      <vt:lpstr>Density_stockpiles_RA</vt:lpstr>
      <vt:lpstr>Density_stockpiles_SG</vt:lpstr>
      <vt:lpstr>Dist_Proad_LQ_CR</vt:lpstr>
      <vt:lpstr>Dist_Proad_LQ_RA</vt:lpstr>
      <vt:lpstr>Dist_Proad_LQ_SG</vt:lpstr>
      <vt:lpstr>Dist_Proad_MQ_CR</vt:lpstr>
      <vt:lpstr>Dist_Proad_MQ_RA</vt:lpstr>
      <vt:lpstr>Dist_Proad_MQ_SG</vt:lpstr>
      <vt:lpstr>Dist_Proad_SQ_CR</vt:lpstr>
      <vt:lpstr>Dist_Proad_SQ_RA</vt:lpstr>
      <vt:lpstr>Dist_Proad_SQ_SG</vt:lpstr>
      <vt:lpstr>Dist_Uroad_LQ_CR</vt:lpstr>
      <vt:lpstr>Dist_Uroad_LQ_RA</vt:lpstr>
      <vt:lpstr>Dist_Uroad_LQ_SG</vt:lpstr>
      <vt:lpstr>Dist_Uroad_MQ_CR</vt:lpstr>
      <vt:lpstr>Dist_Uroad_MQ_RA</vt:lpstr>
      <vt:lpstr>Dist_Uroad_MQ_SG</vt:lpstr>
      <vt:lpstr>Dist_Uroad_SQ_CR</vt:lpstr>
      <vt:lpstr>Dist_Uroad_SQ_RA</vt:lpstr>
      <vt:lpstr>Dist_Uroad_SQ_SG</vt:lpstr>
      <vt:lpstr>'1 - DRILLING AND BLASTING'!Druckbereich</vt:lpstr>
      <vt:lpstr>'2 - MATERIAL PROCESSING'!Druckbereich</vt:lpstr>
      <vt:lpstr>'3 - INTERNAL TRANSPORT'!Druckbereich</vt:lpstr>
      <vt:lpstr>'4 - MATERIAL HANDLING OPERATION'!Druckbereich</vt:lpstr>
      <vt:lpstr>'5 - STOCKPILES'!Druckbereich</vt:lpstr>
      <vt:lpstr>'Case results'!Druckbereich</vt:lpstr>
      <vt:lpstr>'Data input and defaults'!Druckbereich</vt:lpstr>
      <vt:lpstr>'EF per step'!Druckbereich</vt:lpstr>
      <vt:lpstr>'Method and references'!Druckbereich</vt:lpstr>
      <vt:lpstr>'Data input and defaults'!Drucktitel</vt:lpstr>
      <vt:lpstr>EF_Blasting_PM10</vt:lpstr>
      <vt:lpstr>EF_Blasting_PM2.5</vt:lpstr>
      <vt:lpstr>EF_Blasting_TSP</vt:lpstr>
      <vt:lpstr>EF_Crush_Dry_PM10_CR</vt:lpstr>
      <vt:lpstr>EF_Crush_Dry_PM10_RA</vt:lpstr>
      <vt:lpstr>EF_Crush_Dry_PM10_SG</vt:lpstr>
      <vt:lpstr>EF_Crush_Dry_PM2.5_CR</vt:lpstr>
      <vt:lpstr>EF_Crush_Dry_PM2.5_RA</vt:lpstr>
      <vt:lpstr>EF_Crush_Dry_PM2.5_SG</vt:lpstr>
      <vt:lpstr>EF_Crush_Dry_TSP_CR</vt:lpstr>
      <vt:lpstr>EF_Crush_Dry_TSP_RA</vt:lpstr>
      <vt:lpstr>EF_Crush_Dry_TSP_SG</vt:lpstr>
      <vt:lpstr>EF_Crush_Wet_PM10_CR</vt:lpstr>
      <vt:lpstr>EF_Crush_Wet_PM10_RA</vt:lpstr>
      <vt:lpstr>EF_Crush_Wet_PM10_SG</vt:lpstr>
      <vt:lpstr>EF_Crush_Wet_PM2.5_CR</vt:lpstr>
      <vt:lpstr>EF_Crush_Wet_PM2.5_RA</vt:lpstr>
      <vt:lpstr>EF_Crush_Wet_PM2.5_SG</vt:lpstr>
      <vt:lpstr>EF_Crush_Wet_TSP_CR</vt:lpstr>
      <vt:lpstr>EF_Crush_Wet_TSP_RA</vt:lpstr>
      <vt:lpstr>EF_Crush_Wet_TSP_SG</vt:lpstr>
      <vt:lpstr>EF_Drilling_PM10</vt:lpstr>
      <vt:lpstr>EF_Drilling_PM2.5</vt:lpstr>
      <vt:lpstr>EF_Drilling_TSP</vt:lpstr>
      <vt:lpstr>EF_PM10_Proad_CR</vt:lpstr>
      <vt:lpstr>EF_PM10_Proad_RA</vt:lpstr>
      <vt:lpstr>EF_PM10_Proad_SG</vt:lpstr>
      <vt:lpstr>EF_PM2.5_Proad_CR</vt:lpstr>
      <vt:lpstr>EF_PM2.5_Proad_RA</vt:lpstr>
      <vt:lpstr>EF_PM2.5_Proad_SG</vt:lpstr>
      <vt:lpstr>EF_Screen_Dry_PM10_CR</vt:lpstr>
      <vt:lpstr>EF_Screen_Dry_PM10_RA</vt:lpstr>
      <vt:lpstr>EF_Screen_Dry_PM10_SG</vt:lpstr>
      <vt:lpstr>EF_Screen_Dry_PM2.5_CR</vt:lpstr>
      <vt:lpstr>EF_Screen_Dry_PM2.5_RA</vt:lpstr>
      <vt:lpstr>EF_Screen_Dry_PM2.5_SG</vt:lpstr>
      <vt:lpstr>EF_Screen_Dry_TSP_CR</vt:lpstr>
      <vt:lpstr>EF_Screen_Dry_TSP_RA</vt:lpstr>
      <vt:lpstr>EF_Screen_Dry_TSP_SG</vt:lpstr>
      <vt:lpstr>EF_Screen_Wet_PM10_CR</vt:lpstr>
      <vt:lpstr>EF_Screen_Wet_PM10_RA</vt:lpstr>
      <vt:lpstr>EF_Screen_Wet_PM10_SG</vt:lpstr>
      <vt:lpstr>EF_Screen_Wet_PM2.5_CR</vt:lpstr>
      <vt:lpstr>EF_Screen_Wet_PM2.5_RA</vt:lpstr>
      <vt:lpstr>EF_Screen_Wet_PM2.5_SG</vt:lpstr>
      <vt:lpstr>EF_Screen_Wet_TSP_CR</vt:lpstr>
      <vt:lpstr>EF_Screen_Wet_TSP_RA</vt:lpstr>
      <vt:lpstr>EF_Screen_Wet_TSP_SG</vt:lpstr>
      <vt:lpstr>EF_TP_Dry_PM10_CR</vt:lpstr>
      <vt:lpstr>EF_TP_Dry_PM10_RA</vt:lpstr>
      <vt:lpstr>EF_TP_Dry_PM10_SG</vt:lpstr>
      <vt:lpstr>EF_TP_Dry_PM2.5_CR</vt:lpstr>
      <vt:lpstr>EF_TP_Dry_PM2.5_RA</vt:lpstr>
      <vt:lpstr>EF_TP_Dry_PM2.5_SG</vt:lpstr>
      <vt:lpstr>EF_TP_Dry_TSP_CR</vt:lpstr>
      <vt:lpstr>EF_TP_Dry_TSP_RA</vt:lpstr>
      <vt:lpstr>EF_TP_Dry_TSP_SG</vt:lpstr>
      <vt:lpstr>EF_TP_Wet_PM10_CR</vt:lpstr>
      <vt:lpstr>EF_TP_Wet_PM10_RA</vt:lpstr>
      <vt:lpstr>EF_TP_Wet_PM10_SG</vt:lpstr>
      <vt:lpstr>EF_TP_Wet_PM2.5_CR</vt:lpstr>
      <vt:lpstr>EF_TP_Wet_PM2.5_RA</vt:lpstr>
      <vt:lpstr>EF_TP_Wet_PM2.5_SG</vt:lpstr>
      <vt:lpstr>EF_TP_Wet_TSP_CR</vt:lpstr>
      <vt:lpstr>EF_TP_Wet_TSP_RA</vt:lpstr>
      <vt:lpstr>EF_TP_Wet_TSP_SG</vt:lpstr>
      <vt:lpstr>EF_TSP_Proad_CR</vt:lpstr>
      <vt:lpstr>EF_TSP_Proad_RA</vt:lpstr>
      <vt:lpstr>EF_TSP_Proad_SG</vt:lpstr>
      <vt:lpstr>Flow_P_Crush_CR</vt:lpstr>
      <vt:lpstr>Flow_P_Crush_RA</vt:lpstr>
      <vt:lpstr>Flow_P_Crush_SG</vt:lpstr>
      <vt:lpstr>Flow_P_Screen_CR</vt:lpstr>
      <vt:lpstr>Flow_P_Screen_RA</vt:lpstr>
      <vt:lpstr>Flow_P_Screen_SG</vt:lpstr>
      <vt:lpstr>Flow_P_TP_CR</vt:lpstr>
      <vt:lpstr>Flow_P_TP_RA</vt:lpstr>
      <vt:lpstr>Flow_P_TP_SG</vt:lpstr>
      <vt:lpstr>Flow_S_Crush_CR</vt:lpstr>
      <vt:lpstr>Flow_S_Crush_RA</vt:lpstr>
      <vt:lpstr>Flow_S_Crush_SG</vt:lpstr>
      <vt:lpstr>Flow_S_Screen_CR</vt:lpstr>
      <vt:lpstr>Flow_S_Screen_RA</vt:lpstr>
      <vt:lpstr>Flow_S_Screen_SG</vt:lpstr>
      <vt:lpstr>Flow_S_TP_CR</vt:lpstr>
      <vt:lpstr>Flow_S_TP_RA</vt:lpstr>
      <vt:lpstr>Flow_S_TP_SG</vt:lpstr>
      <vt:lpstr>Flow_T_Crush_CR</vt:lpstr>
      <vt:lpstr>Flow_T_Crush_RA</vt:lpstr>
      <vt:lpstr>Flow_T_Crush_SG</vt:lpstr>
      <vt:lpstr>Flow_T_Screen_CR</vt:lpstr>
      <vt:lpstr>Flow_T_Screen_RA</vt:lpstr>
      <vt:lpstr>Flow_T_Screen_SG</vt:lpstr>
      <vt:lpstr>Flow_T_TP_CR</vt:lpstr>
      <vt:lpstr>Flow_T_TP_RA</vt:lpstr>
      <vt:lpstr>Flow_T_TP_SG</vt:lpstr>
      <vt:lpstr>Handling_Const_EF_PM10_CR</vt:lpstr>
      <vt:lpstr>Handling_Const_EF_PM10_RA</vt:lpstr>
      <vt:lpstr>Handling_Const_EF_PM10_SG</vt:lpstr>
      <vt:lpstr>Handling_Const_EF_PM2.5_CR</vt:lpstr>
      <vt:lpstr>Handling_Const_EF_PM2.5_RA</vt:lpstr>
      <vt:lpstr>Handling_Const_EF_PM2.5_SG</vt:lpstr>
      <vt:lpstr>Handling_Const_EF_TSP_CR</vt:lpstr>
      <vt:lpstr>Handling_Const_EF_TSP_RA</vt:lpstr>
      <vt:lpstr>Handling_Const_EF_TSP_SG</vt:lpstr>
      <vt:lpstr>Hole_height</vt:lpstr>
      <vt:lpstr>Hole_surface</vt:lpstr>
      <vt:lpstr>Moisture_CR</vt:lpstr>
      <vt:lpstr>Moisture_RA</vt:lpstr>
      <vt:lpstr>Moisture_SG</vt:lpstr>
      <vt:lpstr>NB_Hand_Oper_CR</vt:lpstr>
      <vt:lpstr>NB_Hand_Oper_RA</vt:lpstr>
      <vt:lpstr>NB_Hand_Oper_SG</vt:lpstr>
      <vt:lpstr>NB_LQ_CR</vt:lpstr>
      <vt:lpstr>NB_LQ_RA</vt:lpstr>
      <vt:lpstr>NB_LQ_SG</vt:lpstr>
      <vt:lpstr>NB_MQ_CR</vt:lpstr>
      <vt:lpstr>NB_MQ_RA</vt:lpstr>
      <vt:lpstr>NB_MQ_SG</vt:lpstr>
      <vt:lpstr>NB_P_Unit_LQ_CR</vt:lpstr>
      <vt:lpstr>NB_P_Unit_LQ_RA</vt:lpstr>
      <vt:lpstr>NB_P_Unit_LQ_SG</vt:lpstr>
      <vt:lpstr>NB_P_Unit_MQ_CR</vt:lpstr>
      <vt:lpstr>NB_P_Unit_MQ_RA</vt:lpstr>
      <vt:lpstr>NB_P_Unit_MQ_SG</vt:lpstr>
      <vt:lpstr>NB_P_Unit_SQ_CR</vt:lpstr>
      <vt:lpstr>NB_P_Unit_SQ_RA</vt:lpstr>
      <vt:lpstr>NB_P_Unit_SQ_SG</vt:lpstr>
      <vt:lpstr>NB_S_Unit_LQ_CR</vt:lpstr>
      <vt:lpstr>NB_S_Unit_LQ_RA</vt:lpstr>
      <vt:lpstr>NB_S_Unit_LQ_SG</vt:lpstr>
      <vt:lpstr>NB_S_Unit_MQ_CR</vt:lpstr>
      <vt:lpstr>NB_S_Unit_MQ_RA</vt:lpstr>
      <vt:lpstr>NB_S_Unit_MQ_SG</vt:lpstr>
      <vt:lpstr>NB_S_Unit_SQ_CR</vt:lpstr>
      <vt:lpstr>NB_S_Unit_SQ_RA</vt:lpstr>
      <vt:lpstr>NB_S_Unit_SQ_SG</vt:lpstr>
      <vt:lpstr>NB_SQ_CR</vt:lpstr>
      <vt:lpstr>NB_SQ_RA</vt:lpstr>
      <vt:lpstr>NB_SQ_SG</vt:lpstr>
      <vt:lpstr>NB_Stockpiles_LQ_CR</vt:lpstr>
      <vt:lpstr>NB_Stockpiles_LQ_RA</vt:lpstr>
      <vt:lpstr>NB_Stockpiles_LQ_SG</vt:lpstr>
      <vt:lpstr>NB_Stockpiles_MQ_CR</vt:lpstr>
      <vt:lpstr>NB_Stockpiles_MQ_RA</vt:lpstr>
      <vt:lpstr>NB_Stockpiles_MQ_SG</vt:lpstr>
      <vt:lpstr>NB_Stockpiles_SQ_CR</vt:lpstr>
      <vt:lpstr>NB_Stockpiles_SQ_RA</vt:lpstr>
      <vt:lpstr>NB_Stockpiles_SQ_SG</vt:lpstr>
      <vt:lpstr>NB_T_Unit_LQ_CR</vt:lpstr>
      <vt:lpstr>NB_T_Unit_LQ_RA</vt:lpstr>
      <vt:lpstr>NB_T_Unit_LQ_SG</vt:lpstr>
      <vt:lpstr>NB_T_Unit_MQ_CR</vt:lpstr>
      <vt:lpstr>NB_T_Unit_MQ_RA</vt:lpstr>
      <vt:lpstr>NB_T_Unit_MQ_SG</vt:lpstr>
      <vt:lpstr>NB_T_Unit_SQ_CR</vt:lpstr>
      <vt:lpstr>NB_T_Unit_SQ_RA</vt:lpstr>
      <vt:lpstr>NB_T_Unit_SQ_SG</vt:lpstr>
      <vt:lpstr>Prod_CR</vt:lpstr>
      <vt:lpstr>Prod_RA</vt:lpstr>
      <vt:lpstr>Prod_SG</vt:lpstr>
      <vt:lpstr>Rwat_Eff_CR</vt:lpstr>
      <vt:lpstr>Rwat_Eff_RA</vt:lpstr>
      <vt:lpstr>Rwat_Eff_SG</vt:lpstr>
      <vt:lpstr>Rwat_Use_LQ_CR</vt:lpstr>
      <vt:lpstr>Rwat_Use_LQ_RA</vt:lpstr>
      <vt:lpstr>Rwat_Use_LQ_SG</vt:lpstr>
      <vt:lpstr>Rwat_Use_MQ_CR</vt:lpstr>
      <vt:lpstr>Rwat_Use_MQ_RA</vt:lpstr>
      <vt:lpstr>Rwat_Use_MQ_SG</vt:lpstr>
      <vt:lpstr>Rwat_Use_SQ_CR</vt:lpstr>
      <vt:lpstr>Rwat_Use_SQ_RA</vt:lpstr>
      <vt:lpstr>Rwat_Use_SQ_SG</vt:lpstr>
      <vt:lpstr>Screen_Aba_DP_LQ_CR</vt:lpstr>
      <vt:lpstr>Screen_Aba_DP_LQ_RA</vt:lpstr>
      <vt:lpstr>Screen_Aba_DP_LQ_SG</vt:lpstr>
      <vt:lpstr>Screen_Aba_DP_MQ_CR</vt:lpstr>
      <vt:lpstr>Screen_Aba_DP_MQ_RA</vt:lpstr>
      <vt:lpstr>Screen_Aba_DP_MQ_SG</vt:lpstr>
      <vt:lpstr>Screen_Aba_DP_SQ_CR</vt:lpstr>
      <vt:lpstr>Screen_Aba_DP_SQ_RA</vt:lpstr>
      <vt:lpstr>Screen_Aba_DP_SQ_SG</vt:lpstr>
      <vt:lpstr>Screen_Aba_WP_LQ_CR</vt:lpstr>
      <vt:lpstr>Screen_Aba_WP_LQ_RA</vt:lpstr>
      <vt:lpstr>Screen_Aba_WP_LQ_SG</vt:lpstr>
      <vt:lpstr>Screen_Aba_WP_MQ_CR</vt:lpstr>
      <vt:lpstr>Screen_Aba_WP_MQ_RA</vt:lpstr>
      <vt:lpstr>Screen_Aba_WP_MQ_SG</vt:lpstr>
      <vt:lpstr>Screen_Aba_WP_SQ_CR</vt:lpstr>
      <vt:lpstr>Screen_Aba_WP_SQ_RA</vt:lpstr>
      <vt:lpstr>Screen_Aba_WP_SQ_SG</vt:lpstr>
      <vt:lpstr>Silt_Content_Stockpiles_CR</vt:lpstr>
      <vt:lpstr>Silt_Content_Stockpiles_RA</vt:lpstr>
      <vt:lpstr>Silt_Content_Stockpiles_SG</vt:lpstr>
      <vt:lpstr>Size_dist_LQ_CR</vt:lpstr>
      <vt:lpstr>Size_dist_LQ_RA</vt:lpstr>
      <vt:lpstr>Size_dist_LQ_SG</vt:lpstr>
      <vt:lpstr>Size_dist_MQ_CR</vt:lpstr>
      <vt:lpstr>Size_dist_MQ_RA</vt:lpstr>
      <vt:lpstr>Size_dist_MQ_SG</vt:lpstr>
      <vt:lpstr>Size_dist_SQ_CR</vt:lpstr>
      <vt:lpstr>Size_dist_SQ_RA</vt:lpstr>
      <vt:lpstr>Size_dist_SQ_SG</vt:lpstr>
      <vt:lpstr>Std_Prod_LQ_CR</vt:lpstr>
      <vt:lpstr>Std_Prod_LQ_RA</vt:lpstr>
      <vt:lpstr>Std_Prod_LQ_SG</vt:lpstr>
      <vt:lpstr>Std_Prod_MQ_CR</vt:lpstr>
      <vt:lpstr>Std_Prod_MQ_RA</vt:lpstr>
      <vt:lpstr>Std_Prod_MQ_SG</vt:lpstr>
      <vt:lpstr>Std_Prod_SQ_CR</vt:lpstr>
      <vt:lpstr>Std_Prod_SQ_RA</vt:lpstr>
      <vt:lpstr>Std_Prod_SQ_SG</vt:lpstr>
      <vt:lpstr>Std_Surf_LQ_CR</vt:lpstr>
      <vt:lpstr>Std_Surf_LQ_RA</vt:lpstr>
      <vt:lpstr>Std_Surf_LQ_SG</vt:lpstr>
      <vt:lpstr>Std_Surf_MQ_CR</vt:lpstr>
      <vt:lpstr>Std_Surf_MQ_RA</vt:lpstr>
      <vt:lpstr>Std_Surf_MQ_SG</vt:lpstr>
      <vt:lpstr>Std_Surf_SQ_CR</vt:lpstr>
      <vt:lpstr>Std_Surf_SQ_RA</vt:lpstr>
      <vt:lpstr>Std_Surf_SQ_SG</vt:lpstr>
      <vt:lpstr>Stockpile_H_LQ_CR</vt:lpstr>
      <vt:lpstr>Stockpile_H_LQ_RA</vt:lpstr>
      <vt:lpstr>Stockpile_H_LQ_SG</vt:lpstr>
      <vt:lpstr>Stockpile_H_MQ_CR</vt:lpstr>
      <vt:lpstr>Stockpile_H_MQ_RA</vt:lpstr>
      <vt:lpstr>Stockpile_H_MQ_SG</vt:lpstr>
      <vt:lpstr>Stockpile_H_SQ_CR</vt:lpstr>
      <vt:lpstr>Stockpile_H_SQ_RA</vt:lpstr>
      <vt:lpstr>Stockpile_H_SQ_SG</vt:lpstr>
      <vt:lpstr>Stockpile_V_LQ_CR</vt:lpstr>
      <vt:lpstr>Stockpile_V_LQ_RA</vt:lpstr>
      <vt:lpstr>Stockpile_V_LQ_SG</vt:lpstr>
      <vt:lpstr>Stockpile_V_MQ_CR</vt:lpstr>
      <vt:lpstr>Stockpile_V_MQ_RA</vt:lpstr>
      <vt:lpstr>Stockpile_V_MQ_SG</vt:lpstr>
      <vt:lpstr>Stockpile_V_SQ_CR</vt:lpstr>
      <vt:lpstr>Stockpile_V_SQ_RA</vt:lpstr>
      <vt:lpstr>Stockpile_V_SQ_SG</vt:lpstr>
      <vt:lpstr>Surf_Mat_Silt_PR_CR</vt:lpstr>
      <vt:lpstr>Surf_Mat_Silt_PR_RA</vt:lpstr>
      <vt:lpstr>Surf_Mat_Silt_PR_SG</vt:lpstr>
      <vt:lpstr>Surf_Mat_Silt_UR_CR</vt:lpstr>
      <vt:lpstr>Surf_Mat_Silt_UR_RA</vt:lpstr>
      <vt:lpstr>Surf_Mat_Silt_UR_SG</vt:lpstr>
      <vt:lpstr>TP_Aba_DP_LQ_CR</vt:lpstr>
      <vt:lpstr>TP_Aba_DP_LQ_RA</vt:lpstr>
      <vt:lpstr>TP_Aba_DP_LQ_SG</vt:lpstr>
      <vt:lpstr>TP_Aba_DP_MQ_CR</vt:lpstr>
      <vt:lpstr>TP_Aba_DP_MQ_RA</vt:lpstr>
      <vt:lpstr>TP_Aba_DP_MQ_SG</vt:lpstr>
      <vt:lpstr>TP_Aba_DP_SQ_CR</vt:lpstr>
      <vt:lpstr>TP_Aba_DP_SQ_RA</vt:lpstr>
      <vt:lpstr>TP_Aba_DP_SQ_SG</vt:lpstr>
      <vt:lpstr>TP_Aba_WP_LQ_CR</vt:lpstr>
      <vt:lpstr>TP_Aba_WP_LQ_RA</vt:lpstr>
      <vt:lpstr>TP_Aba_WP_LQ_SG</vt:lpstr>
      <vt:lpstr>TP_Aba_WP_MQ_CR</vt:lpstr>
      <vt:lpstr>TP_Aba_WP_MQ_RA</vt:lpstr>
      <vt:lpstr>TP_Aba_WP_MQ_SG</vt:lpstr>
      <vt:lpstr>TP_Aba_WP_SQ_CR</vt:lpstr>
      <vt:lpstr>TP_Aba_WP_SQ_RA</vt:lpstr>
      <vt:lpstr>TP_Aba_WP_SQ_SG</vt:lpstr>
      <vt:lpstr>Veh_W_LQ_CR</vt:lpstr>
      <vt:lpstr>Veh_W_LQ_RA</vt:lpstr>
      <vt:lpstr>Veh_W_LQ_SG</vt:lpstr>
      <vt:lpstr>Veh_W_MQ_CR</vt:lpstr>
      <vt:lpstr>Veh_W_MQ_RA</vt:lpstr>
      <vt:lpstr>Veh_W_MQ_SG</vt:lpstr>
      <vt:lpstr>Veh_W_SQ_CR</vt:lpstr>
      <vt:lpstr>Veh_W_SQ_RA</vt:lpstr>
      <vt:lpstr>Veh_W_SQ_SG</vt:lpstr>
      <vt:lpstr>Weeks_stored_LQ_CR</vt:lpstr>
      <vt:lpstr>Weeks_stored_LQ_RA</vt:lpstr>
      <vt:lpstr>Weeks_stored_LQ_SG</vt:lpstr>
      <vt:lpstr>Weeks_stored_MQ_CR</vt:lpstr>
      <vt:lpstr>Weeks_stored_MQ_RA</vt:lpstr>
      <vt:lpstr>Weeks_stored_MQ_SG</vt:lpstr>
      <vt:lpstr>Weeks_stored_SQ_CR</vt:lpstr>
      <vt:lpstr>Weeks_stored_SQ_RA</vt:lpstr>
      <vt:lpstr>Weeks_stored_SQ_SG</vt:lpstr>
      <vt:lpstr>Wet_Proc_perc_LQ_CR</vt:lpstr>
      <vt:lpstr>Wet_Proc_perc_LQ_RA</vt:lpstr>
      <vt:lpstr>Wet_Proc_perc_LQ_SG</vt:lpstr>
      <vt:lpstr>Wet_Proc_perc_MQ_CR</vt:lpstr>
      <vt:lpstr>Wet_Proc_perc_MQ_RA</vt:lpstr>
      <vt:lpstr>Wet_Proc_perc_MQ_SG</vt:lpstr>
      <vt:lpstr>Wet_Proc_perc_SQ_CR</vt:lpstr>
      <vt:lpstr>Wet_Proc_perc_SQ_RA</vt:lpstr>
      <vt:lpstr>Wet_Proc_perc_SQ_SG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NV. VANDROMME</dc:creator>
  <cp:lastModifiedBy>Hausmann Dr., Kevin</cp:lastModifiedBy>
  <cp:lastPrinted>2018-10-10T15:56:23Z</cp:lastPrinted>
  <dcterms:created xsi:type="dcterms:W3CDTF">2018-08-21T14:39:22Z</dcterms:created>
  <dcterms:modified xsi:type="dcterms:W3CDTF">2019-02-05T14:28:27Z</dcterms:modified>
</cp:coreProperties>
</file>