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20" yWindow="60" windowWidth="23955" windowHeight="12330" tabRatio="797" activeTab="1"/>
  </bookViews>
  <sheets>
    <sheet name="Consumption Calculation" sheetId="1" r:id="rId1"/>
    <sheet name="C_P_I_E chart GWP TAR" sheetId="7" r:id="rId2"/>
    <sheet name="Cons chart GWP FAR" sheetId="5" r:id="rId3"/>
    <sheet name="Cons chart GWP TAR" sheetId="6" r:id="rId4"/>
    <sheet name="Cons chart tonnes" sheetId="8" r:id="rId5"/>
  </sheets>
  <externalReferences>
    <externalReference r:id="rId6"/>
  </externalReferences>
  <definedNames>
    <definedName name="GWP_LIST">[1]GWP_list!$A$4:$B$73</definedName>
  </definedNames>
  <calcPr calcId="145621"/>
</workbook>
</file>

<file path=xl/calcChain.xml><?xml version="1.0" encoding="utf-8"?>
<calcChain xmlns="http://schemas.openxmlformats.org/spreadsheetml/2006/main">
  <c r="H4" i="5" l="1"/>
  <c r="H5" i="5"/>
  <c r="H4" i="8"/>
  <c r="H5" i="8"/>
  <c r="H4" i="6"/>
  <c r="H5" i="6"/>
  <c r="H3" i="5"/>
  <c r="H3" i="8"/>
  <c r="H3" i="6"/>
  <c r="D8" i="6" l="1"/>
  <c r="E8" i="6"/>
  <c r="F8" i="6"/>
  <c r="G8" i="6"/>
  <c r="D8" i="5"/>
  <c r="E8" i="5"/>
  <c r="F8" i="5"/>
  <c r="G8" i="5"/>
  <c r="C8" i="6"/>
  <c r="C8" i="5"/>
  <c r="D6" i="8"/>
  <c r="E6" i="8"/>
  <c r="E7" i="8" s="1"/>
  <c r="F6" i="8"/>
  <c r="C6" i="8"/>
  <c r="G5" i="8"/>
  <c r="G4" i="8"/>
  <c r="G3" i="8"/>
  <c r="G7" i="8" s="1"/>
  <c r="F7" i="8"/>
  <c r="D7" i="8"/>
  <c r="C7" i="8"/>
  <c r="BI47" i="1"/>
  <c r="AW47" i="1"/>
  <c r="AW38" i="1"/>
  <c r="AW29" i="1"/>
  <c r="AW11" i="1"/>
  <c r="AW20" i="1"/>
  <c r="BI38" i="1"/>
  <c r="BI29" i="1"/>
  <c r="BI20" i="1"/>
  <c r="BI4" i="1"/>
  <c r="BI5" i="1"/>
  <c r="BI6" i="1"/>
  <c r="BI7" i="1"/>
  <c r="BI8" i="1"/>
  <c r="BI9" i="1"/>
  <c r="BI10" i="1"/>
  <c r="BI11" i="1"/>
  <c r="BE18" i="1"/>
  <c r="BG17" i="1"/>
  <c r="BG8" i="1" s="1"/>
  <c r="BG16" i="1"/>
  <c r="BF43" i="1"/>
  <c r="BI46" i="1"/>
  <c r="BH46" i="1"/>
  <c r="BG46" i="1"/>
  <c r="BE46" i="1"/>
  <c r="BI45" i="1"/>
  <c r="BH45" i="1"/>
  <c r="BG45" i="1"/>
  <c r="BF45" i="1"/>
  <c r="BE45" i="1"/>
  <c r="BI44" i="1"/>
  <c r="BH44" i="1"/>
  <c r="BG44" i="1"/>
  <c r="BF44" i="1"/>
  <c r="BE44" i="1"/>
  <c r="BI43" i="1"/>
  <c r="BH43" i="1"/>
  <c r="BG43" i="1"/>
  <c r="BE43" i="1"/>
  <c r="BI42" i="1"/>
  <c r="BH42" i="1"/>
  <c r="BG42" i="1"/>
  <c r="BF42" i="1"/>
  <c r="BE42" i="1"/>
  <c r="BI41" i="1"/>
  <c r="BH41" i="1"/>
  <c r="BG41" i="1"/>
  <c r="BG47" i="1" s="1"/>
  <c r="BF41" i="1"/>
  <c r="BE41" i="1"/>
  <c r="BI40" i="1"/>
  <c r="BH40" i="1"/>
  <c r="BH47" i="1" s="1"/>
  <c r="BG40" i="1"/>
  <c r="BF40" i="1"/>
  <c r="BE40" i="1"/>
  <c r="BI37" i="1"/>
  <c r="BH37" i="1"/>
  <c r="BH10" i="1" s="1"/>
  <c r="BG37" i="1"/>
  <c r="BF37" i="1"/>
  <c r="BE37" i="1"/>
  <c r="BI36" i="1"/>
  <c r="BH36" i="1"/>
  <c r="BG36" i="1"/>
  <c r="BF36" i="1"/>
  <c r="BE36" i="1"/>
  <c r="BI35" i="1"/>
  <c r="BH35" i="1"/>
  <c r="BG35" i="1"/>
  <c r="BF35" i="1"/>
  <c r="BF8" i="1" s="1"/>
  <c r="BE35" i="1"/>
  <c r="BI34" i="1"/>
  <c r="BH34" i="1"/>
  <c r="BG34" i="1"/>
  <c r="BF34" i="1"/>
  <c r="BE34" i="1"/>
  <c r="BI33" i="1"/>
  <c r="BH33" i="1"/>
  <c r="BG33" i="1"/>
  <c r="BF33" i="1"/>
  <c r="BE33" i="1"/>
  <c r="BI32" i="1"/>
  <c r="BH32" i="1"/>
  <c r="BG32" i="1"/>
  <c r="BG38" i="1" s="1"/>
  <c r="BF32" i="1"/>
  <c r="BE32" i="1"/>
  <c r="BI31" i="1"/>
  <c r="BH31" i="1"/>
  <c r="BH38" i="1" s="1"/>
  <c r="BG31" i="1"/>
  <c r="BF31" i="1"/>
  <c r="BE31" i="1"/>
  <c r="BE38" i="1" s="1"/>
  <c r="BI28" i="1"/>
  <c r="BH28" i="1"/>
  <c r="BG28" i="1"/>
  <c r="BE28" i="1"/>
  <c r="BI27" i="1"/>
  <c r="BI26" i="1"/>
  <c r="BH26" i="1"/>
  <c r="BG26" i="1"/>
  <c r="BF26" i="1"/>
  <c r="BE26" i="1"/>
  <c r="BI25" i="1"/>
  <c r="BH25" i="1"/>
  <c r="BG25" i="1"/>
  <c r="BF25" i="1"/>
  <c r="BE25" i="1"/>
  <c r="BI24" i="1"/>
  <c r="BH24" i="1"/>
  <c r="BG24" i="1"/>
  <c r="BF24" i="1"/>
  <c r="BE24" i="1"/>
  <c r="BI23" i="1"/>
  <c r="BH23" i="1"/>
  <c r="BG23" i="1"/>
  <c r="BG29" i="1" s="1"/>
  <c r="BF23" i="1"/>
  <c r="BE23" i="1"/>
  <c r="BI22" i="1"/>
  <c r="BH22" i="1"/>
  <c r="BG22" i="1"/>
  <c r="BF22" i="1"/>
  <c r="BF29" i="1" s="1"/>
  <c r="BE22" i="1"/>
  <c r="BE14" i="1"/>
  <c r="BF14" i="1"/>
  <c r="BG14" i="1"/>
  <c r="BH14" i="1"/>
  <c r="BI14" i="1"/>
  <c r="BE15" i="1"/>
  <c r="BF15" i="1"/>
  <c r="BG15" i="1"/>
  <c r="BH15" i="1"/>
  <c r="BI15" i="1"/>
  <c r="BE16" i="1"/>
  <c r="BF16" i="1"/>
  <c r="BH16" i="1"/>
  <c r="BI16" i="1"/>
  <c r="BE17" i="1"/>
  <c r="BF17" i="1"/>
  <c r="BH17" i="1"/>
  <c r="BI17" i="1"/>
  <c r="BF18" i="1"/>
  <c r="BG18" i="1"/>
  <c r="BH18" i="1"/>
  <c r="BI18" i="1"/>
  <c r="BE19" i="1"/>
  <c r="BE10" i="1" s="1"/>
  <c r="BF19" i="1"/>
  <c r="BG19" i="1"/>
  <c r="BH19" i="1"/>
  <c r="BI19" i="1"/>
  <c r="BF13" i="1"/>
  <c r="BG13" i="1"/>
  <c r="BH13" i="1"/>
  <c r="BI13" i="1"/>
  <c r="BE13" i="1"/>
  <c r="BE47" i="1"/>
  <c r="BF38" i="1"/>
  <c r="BH29" i="1"/>
  <c r="BE9" i="1"/>
  <c r="BF20" i="1"/>
  <c r="BF9" i="1"/>
  <c r="BH7" i="1"/>
  <c r="BH6" i="1"/>
  <c r="BE6" i="1"/>
  <c r="BF5" i="1"/>
  <c r="BE5" i="1"/>
  <c r="BG4" i="1"/>
  <c r="BE8" i="1" l="1"/>
  <c r="BF6" i="1"/>
  <c r="BE7" i="1"/>
  <c r="BG9" i="1"/>
  <c r="BF10" i="1"/>
  <c r="BH9" i="1"/>
  <c r="BH11" i="1" s="1"/>
  <c r="BG6" i="1"/>
  <c r="BH5" i="1"/>
  <c r="BE4" i="1"/>
  <c r="BE11" i="1" s="1"/>
  <c r="BG5" i="1"/>
  <c r="BE29" i="1"/>
  <c r="BH8" i="1"/>
  <c r="BF4" i="1"/>
  <c r="BG10" i="1"/>
  <c r="BH20" i="1"/>
  <c r="BH4" i="1"/>
  <c r="BE20" i="1"/>
  <c r="BG7" i="1"/>
  <c r="AK18" i="1"/>
  <c r="AK19" i="1"/>
  <c r="AM17" i="1"/>
  <c r="AO17" i="1"/>
  <c r="AP17" i="1"/>
  <c r="AN17" i="1"/>
  <c r="AK17" i="1"/>
  <c r="BG11" i="1" l="1"/>
  <c r="BG20" i="1"/>
  <c r="BB46" i="1"/>
  <c r="BA46" i="1"/>
  <c r="AZ46" i="1"/>
  <c r="AY46" i="1"/>
  <c r="BB45" i="1"/>
  <c r="BA45" i="1"/>
  <c r="AZ45" i="1"/>
  <c r="AY45" i="1"/>
  <c r="BB44" i="1"/>
  <c r="BA44" i="1"/>
  <c r="AZ44" i="1"/>
  <c r="AY44" i="1"/>
  <c r="BB43" i="1"/>
  <c r="BA43" i="1"/>
  <c r="AY43" i="1"/>
  <c r="BB37" i="1"/>
  <c r="BA37" i="1"/>
  <c r="AZ37" i="1"/>
  <c r="AY37" i="1"/>
  <c r="BB36" i="1"/>
  <c r="BA36" i="1"/>
  <c r="AZ36" i="1"/>
  <c r="AY36" i="1"/>
  <c r="BB35" i="1"/>
  <c r="BA35" i="1"/>
  <c r="AZ35" i="1"/>
  <c r="AY35" i="1"/>
  <c r="BB34" i="1"/>
  <c r="BA34" i="1"/>
  <c r="AZ34" i="1"/>
  <c r="AY34" i="1"/>
  <c r="BB31" i="1"/>
  <c r="BA31" i="1"/>
  <c r="AZ31" i="1"/>
  <c r="AY31" i="1"/>
  <c r="BB28" i="1"/>
  <c r="BA28" i="1"/>
  <c r="AZ28" i="1"/>
  <c r="AY28" i="1"/>
  <c r="BB27" i="1"/>
  <c r="BA27" i="1"/>
  <c r="AZ27" i="1"/>
  <c r="AY27" i="1"/>
  <c r="BB26" i="1"/>
  <c r="BA26" i="1"/>
  <c r="AZ26" i="1"/>
  <c r="AY26" i="1"/>
  <c r="BB25" i="1"/>
  <c r="BA25" i="1"/>
  <c r="AZ25" i="1"/>
  <c r="AY25" i="1"/>
  <c r="BB22" i="1"/>
  <c r="BA22" i="1"/>
  <c r="AZ22" i="1"/>
  <c r="AY22" i="1"/>
  <c r="AZ18" i="1"/>
  <c r="AT43" i="1"/>
  <c r="AS16" i="1"/>
  <c r="AZ9" i="1"/>
  <c r="BF7" i="1" l="1"/>
  <c r="BF11" i="1" s="1"/>
  <c r="BF47" i="1"/>
  <c r="AS18" i="1"/>
  <c r="AT44" i="1"/>
  <c r="AT45" i="1"/>
  <c r="AS46" i="1"/>
  <c r="AS45" i="1"/>
  <c r="AS44" i="1"/>
  <c r="AS43" i="1"/>
  <c r="AV46" i="1"/>
  <c r="AU46" i="1"/>
  <c r="AV45" i="1"/>
  <c r="AU45" i="1"/>
  <c r="AU9" i="1" s="1"/>
  <c r="AV44" i="1"/>
  <c r="AU44" i="1"/>
  <c r="AV43" i="1"/>
  <c r="AU43" i="1"/>
  <c r="AV37" i="1"/>
  <c r="AU37" i="1"/>
  <c r="AU10" i="1" s="1"/>
  <c r="AT37" i="1"/>
  <c r="AS37" i="1"/>
  <c r="AV36" i="1"/>
  <c r="AU36" i="1"/>
  <c r="AT36" i="1"/>
  <c r="AS36" i="1"/>
  <c r="AV35" i="1"/>
  <c r="AU35" i="1"/>
  <c r="AT35" i="1"/>
  <c r="AS35" i="1"/>
  <c r="AV34" i="1"/>
  <c r="AU34" i="1"/>
  <c r="AT34" i="1"/>
  <c r="AS34" i="1"/>
  <c r="AV28" i="1"/>
  <c r="AU28" i="1"/>
  <c r="AV26" i="1"/>
  <c r="AU26" i="1"/>
  <c r="AT26" i="1"/>
  <c r="AS26" i="1"/>
  <c r="AV25" i="1"/>
  <c r="AU25" i="1"/>
  <c r="AT25" i="1"/>
  <c r="AS25" i="1"/>
  <c r="AT18" i="1"/>
  <c r="AU18" i="1"/>
  <c r="AU19" i="1"/>
  <c r="AV19" i="1"/>
  <c r="AV18" i="1"/>
  <c r="AV16" i="1"/>
  <c r="AT16" i="1"/>
  <c r="AV31" i="1"/>
  <c r="AU31" i="1"/>
  <c r="AT31" i="1"/>
  <c r="AS31" i="1"/>
  <c r="AV22" i="1"/>
  <c r="AU22" i="1"/>
  <c r="AT22" i="1"/>
  <c r="AS22" i="1"/>
  <c r="AV10" i="1"/>
  <c r="AV9" i="1"/>
  <c r="AT9" i="1" l="1"/>
  <c r="AN44" i="1"/>
  <c r="AN45" i="1"/>
  <c r="AM46" i="1"/>
  <c r="AM45" i="1"/>
  <c r="AM44" i="1"/>
  <c r="AM43" i="1"/>
  <c r="AM34" i="1"/>
  <c r="AN34" i="1"/>
  <c r="AM35" i="1"/>
  <c r="AN35" i="1"/>
  <c r="AM36" i="1"/>
  <c r="AN36" i="1"/>
  <c r="AN9" i="1" s="1"/>
  <c r="AM37" i="1"/>
  <c r="AN37" i="1"/>
  <c r="AM24" i="1"/>
  <c r="AO24" i="1"/>
  <c r="AN18" i="1"/>
  <c r="AM25" i="1"/>
  <c r="AN25" i="1"/>
  <c r="AO25" i="1"/>
  <c r="AP25" i="1"/>
  <c r="AM26" i="1"/>
  <c r="AN26" i="1"/>
  <c r="AO26" i="1"/>
  <c r="AP26" i="1"/>
  <c r="AO28" i="1"/>
  <c r="AP28" i="1"/>
  <c r="AM31" i="1"/>
  <c r="AN31" i="1"/>
  <c r="AO31" i="1"/>
  <c r="AP31" i="1"/>
  <c r="AO34" i="1"/>
  <c r="AP34" i="1"/>
  <c r="AO35" i="1"/>
  <c r="AP35" i="1"/>
  <c r="AO36" i="1"/>
  <c r="AP36" i="1"/>
  <c r="AO37" i="1"/>
  <c r="AP37" i="1"/>
  <c r="AO43" i="1"/>
  <c r="AP43" i="1"/>
  <c r="AO44" i="1"/>
  <c r="AP44" i="1"/>
  <c r="AO45" i="1"/>
  <c r="AP45" i="1"/>
  <c r="AO46" i="1"/>
  <c r="AP46" i="1"/>
  <c r="AO13" i="1"/>
  <c r="AM22" i="1"/>
  <c r="AN22" i="1"/>
  <c r="AO22" i="1"/>
  <c r="AP22" i="1"/>
  <c r="AO23" i="1"/>
  <c r="AO40" i="1"/>
  <c r="AO41" i="1"/>
  <c r="AO42" i="1"/>
  <c r="AO4" i="1"/>
  <c r="AO29" i="1"/>
  <c r="AH46" i="1"/>
  <c r="AG46" i="1"/>
  <c r="AF46" i="1"/>
  <c r="AE46" i="1"/>
  <c r="AA46" i="1"/>
  <c r="Z46" i="1"/>
  <c r="Y46" i="1"/>
  <c r="X46" i="1"/>
  <c r="AH45" i="1"/>
  <c r="AG45" i="1"/>
  <c r="AF45" i="1"/>
  <c r="AE45" i="1"/>
  <c r="AA45" i="1"/>
  <c r="Z45" i="1"/>
  <c r="Y45" i="1"/>
  <c r="X45" i="1"/>
  <c r="AH44" i="1"/>
  <c r="AG44" i="1"/>
  <c r="AF44" i="1"/>
  <c r="AE44" i="1"/>
  <c r="AA44" i="1"/>
  <c r="Z44" i="1"/>
  <c r="Y44" i="1"/>
  <c r="X44" i="1"/>
  <c r="AH43" i="1"/>
  <c r="AG43" i="1"/>
  <c r="AF43" i="1"/>
  <c r="AE43" i="1"/>
  <c r="AA43" i="1"/>
  <c r="Z43" i="1"/>
  <c r="Y43" i="1"/>
  <c r="X43" i="1"/>
  <c r="AH37" i="1"/>
  <c r="AG37" i="1"/>
  <c r="AF37" i="1"/>
  <c r="AE37" i="1"/>
  <c r="AA37" i="1"/>
  <c r="Z37" i="1"/>
  <c r="Y37" i="1"/>
  <c r="X37" i="1"/>
  <c r="AH36" i="1"/>
  <c r="AG36" i="1"/>
  <c r="AF36" i="1"/>
  <c r="AE36" i="1"/>
  <c r="AA36" i="1"/>
  <c r="Z36" i="1"/>
  <c r="Y36" i="1"/>
  <c r="X36" i="1"/>
  <c r="AH35" i="1"/>
  <c r="AG35" i="1"/>
  <c r="AF35" i="1"/>
  <c r="AE35" i="1"/>
  <c r="AA35" i="1"/>
  <c r="Z35" i="1"/>
  <c r="Y35" i="1"/>
  <c r="X35" i="1"/>
  <c r="AH34" i="1"/>
  <c r="AG34" i="1"/>
  <c r="AF34" i="1"/>
  <c r="AE34" i="1"/>
  <c r="AA34" i="1"/>
  <c r="Z34" i="1"/>
  <c r="Y34" i="1"/>
  <c r="X34" i="1"/>
  <c r="AH31" i="1"/>
  <c r="AG31" i="1"/>
  <c r="AF31" i="1"/>
  <c r="AE31" i="1"/>
  <c r="AA31" i="1"/>
  <c r="Z31" i="1"/>
  <c r="Y31" i="1"/>
  <c r="X31" i="1"/>
  <c r="AH28" i="1"/>
  <c r="AG28" i="1"/>
  <c r="AF28" i="1"/>
  <c r="AE28" i="1"/>
  <c r="AA28" i="1"/>
  <c r="Z28" i="1"/>
  <c r="Y28" i="1"/>
  <c r="X28" i="1"/>
  <c r="AH27" i="1"/>
  <c r="AG27" i="1"/>
  <c r="AF27" i="1"/>
  <c r="AE27" i="1"/>
  <c r="AA27" i="1"/>
  <c r="Z27" i="1"/>
  <c r="Y27" i="1"/>
  <c r="X27" i="1"/>
  <c r="AH26" i="1"/>
  <c r="AG26" i="1"/>
  <c r="AF26" i="1"/>
  <c r="AE26" i="1"/>
  <c r="AA26" i="1"/>
  <c r="Z26" i="1"/>
  <c r="Y26" i="1"/>
  <c r="X26" i="1"/>
  <c r="AH25" i="1"/>
  <c r="AG25" i="1"/>
  <c r="AF25" i="1"/>
  <c r="AE25" i="1"/>
  <c r="AA25" i="1"/>
  <c r="Z25" i="1"/>
  <c r="Y25" i="1"/>
  <c r="X25" i="1"/>
  <c r="AH22" i="1"/>
  <c r="AG22" i="1"/>
  <c r="AF22" i="1"/>
  <c r="AE22" i="1"/>
  <c r="AA22" i="1"/>
  <c r="Z22" i="1"/>
  <c r="Y22" i="1"/>
  <c r="X22" i="1"/>
  <c r="AH19" i="1"/>
  <c r="AG19" i="1"/>
  <c r="AE19" i="1"/>
  <c r="AA19" i="1"/>
  <c r="Z19" i="1"/>
  <c r="X19" i="1"/>
  <c r="AH18" i="1"/>
  <c r="AG18" i="1"/>
  <c r="AF18" i="1"/>
  <c r="AE18" i="1"/>
  <c r="AA18" i="1"/>
  <c r="Z18" i="1"/>
  <c r="Y18" i="1"/>
  <c r="X18" i="1"/>
  <c r="AH16" i="1"/>
  <c r="AG16" i="1"/>
  <c r="AF16" i="1"/>
  <c r="AE16" i="1"/>
  <c r="AA16" i="1"/>
  <c r="Z16" i="1"/>
  <c r="Y16" i="1"/>
  <c r="X16" i="1"/>
  <c r="AH10" i="1"/>
  <c r="AH9" i="1"/>
  <c r="AH7" i="1"/>
  <c r="AA10" i="1"/>
  <c r="AA9" i="1"/>
  <c r="AA7" i="1"/>
  <c r="Y7" i="1"/>
  <c r="J7" i="1"/>
  <c r="L7" i="1"/>
  <c r="M7" i="1"/>
  <c r="J9" i="1"/>
  <c r="K9" i="1"/>
  <c r="L9" i="1"/>
  <c r="M9" i="1"/>
  <c r="J10" i="1"/>
  <c r="L10" i="1"/>
  <c r="M10" i="1"/>
  <c r="T7" i="1"/>
  <c r="T8" i="1"/>
  <c r="S7" i="1"/>
  <c r="S8" i="1"/>
  <c r="AS9" i="1" l="1"/>
  <c r="AT7" i="1"/>
  <c r="AO47" i="1"/>
  <c r="Q47" i="1"/>
  <c r="C19" i="1"/>
  <c r="AT17" i="1"/>
  <c r="D19" i="1"/>
  <c r="S23" i="1"/>
  <c r="S41" i="1"/>
  <c r="S42" i="1"/>
  <c r="L19" i="1"/>
  <c r="L18" i="1"/>
  <c r="E19" i="1"/>
  <c r="E10" i="1" s="1"/>
  <c r="AG10" i="1" s="1"/>
  <c r="E18" i="1"/>
  <c r="E9" i="1" s="1"/>
  <c r="AG9" i="1" s="1"/>
  <c r="C9" i="1"/>
  <c r="AE9" i="1" s="1"/>
  <c r="D9" i="1"/>
  <c r="AF9" i="1" s="1"/>
  <c r="C10" i="1"/>
  <c r="AE10" i="1" s="1"/>
  <c r="D10" i="1"/>
  <c r="AF10" i="1" s="1"/>
  <c r="F10" i="1"/>
  <c r="F9" i="1"/>
  <c r="F7" i="1"/>
  <c r="E7" i="1"/>
  <c r="Z7" i="1" s="1"/>
  <c r="C7" i="1"/>
  <c r="X7" i="1" s="1"/>
  <c r="AH17" i="1"/>
  <c r="AG17" i="1"/>
  <c r="D8" i="1"/>
  <c r="AE17" i="1"/>
  <c r="AV17" i="1"/>
  <c r="AS17" i="1"/>
  <c r="AS8" i="1" l="1"/>
  <c r="AT8" i="1"/>
  <c r="AU17" i="1"/>
  <c r="AF19" i="1"/>
  <c r="AT19" i="1"/>
  <c r="AV8" i="1"/>
  <c r="X9" i="1"/>
  <c r="X17" i="1"/>
  <c r="J8" i="1"/>
  <c r="F8" i="1"/>
  <c r="AH8" i="1" s="1"/>
  <c r="Z17" i="1"/>
  <c r="L8" i="1"/>
  <c r="E8" i="1"/>
  <c r="AG8" i="1" s="1"/>
  <c r="K8" i="1"/>
  <c r="Y8" i="1" s="1"/>
  <c r="Y17" i="1"/>
  <c r="Y9" i="1"/>
  <c r="X10" i="1"/>
  <c r="M8" i="1"/>
  <c r="AA8" i="1" s="1"/>
  <c r="AA17" i="1"/>
  <c r="Y19" i="1"/>
  <c r="K10" i="1"/>
  <c r="Y10" i="1" s="1"/>
  <c r="AG7" i="1"/>
  <c r="C8" i="1"/>
  <c r="AF17" i="1"/>
  <c r="Z10" i="1"/>
  <c r="Z9" i="1"/>
  <c r="F16" i="1"/>
  <c r="M16" i="1"/>
  <c r="F19" i="1"/>
  <c r="M19" i="1"/>
  <c r="M18" i="1"/>
  <c r="F18" i="1"/>
  <c r="AU8" i="1" l="1"/>
  <c r="AS19" i="1"/>
  <c r="AT10" i="1"/>
  <c r="AV7" i="1"/>
  <c r="X8" i="1"/>
  <c r="Z8" i="1"/>
  <c r="Q7" i="1"/>
  <c r="R7" i="1"/>
  <c r="AF7" i="1" s="1"/>
  <c r="Q8" i="1"/>
  <c r="AE8" i="1" s="1"/>
  <c r="R8" i="1"/>
  <c r="AF8" i="1" s="1"/>
  <c r="Q20" i="1"/>
  <c r="R20" i="1"/>
  <c r="S29" i="1"/>
  <c r="Q29" i="1"/>
  <c r="R29" i="1"/>
  <c r="R47" i="1"/>
  <c r="S47" i="1"/>
  <c r="AU13" i="1"/>
  <c r="BA13" i="1" s="1"/>
  <c r="AV13" i="1"/>
  <c r="AU14" i="1"/>
  <c r="AV14" i="1"/>
  <c r="AU15" i="1"/>
  <c r="AV15" i="1"/>
  <c r="J20" i="1"/>
  <c r="AU23" i="1"/>
  <c r="BA23" i="1" s="1"/>
  <c r="AV23" i="1"/>
  <c r="AS24" i="1"/>
  <c r="AY24" i="1" s="1"/>
  <c r="AT24" i="1"/>
  <c r="AU24" i="1"/>
  <c r="BA24" i="1" s="1"/>
  <c r="AV24" i="1"/>
  <c r="J29" i="1"/>
  <c r="K29" i="1"/>
  <c r="AS32" i="1"/>
  <c r="AT32" i="1"/>
  <c r="AU32" i="1"/>
  <c r="AV32" i="1"/>
  <c r="AS33" i="1"/>
  <c r="AT33" i="1"/>
  <c r="AU33" i="1"/>
  <c r="AV33" i="1"/>
  <c r="J38" i="1"/>
  <c r="AU40" i="1"/>
  <c r="BA40" i="1" s="1"/>
  <c r="AU41" i="1"/>
  <c r="BA41" i="1" s="1"/>
  <c r="AV41" i="1"/>
  <c r="AU42" i="1"/>
  <c r="BA42" i="1" s="1"/>
  <c r="AV42" i="1"/>
  <c r="J47" i="1"/>
  <c r="J11" i="1"/>
  <c r="K11" i="1"/>
  <c r="L11" i="1"/>
  <c r="M11" i="1"/>
  <c r="AE40" i="1"/>
  <c r="AF40" i="1"/>
  <c r="AG40" i="1"/>
  <c r="AE41" i="1"/>
  <c r="AF41" i="1"/>
  <c r="AG41" i="1"/>
  <c r="AE42" i="1"/>
  <c r="AF42" i="1"/>
  <c r="AG42" i="1"/>
  <c r="C47" i="1"/>
  <c r="AE47" i="1" s="1"/>
  <c r="F47" i="1"/>
  <c r="C38" i="1"/>
  <c r="AE23" i="1"/>
  <c r="AF23" i="1"/>
  <c r="AG23" i="1"/>
  <c r="AE24" i="1"/>
  <c r="AF24" i="1"/>
  <c r="AG24" i="1"/>
  <c r="C29" i="1"/>
  <c r="AF13" i="1"/>
  <c r="AE14" i="1"/>
  <c r="AF14" i="1"/>
  <c r="AE15" i="1"/>
  <c r="AF15" i="1"/>
  <c r="AE4" i="1"/>
  <c r="AF4" i="1"/>
  <c r="AG4" i="1"/>
  <c r="AE5" i="1"/>
  <c r="AF5" i="1"/>
  <c r="AE6" i="1"/>
  <c r="AF6" i="1"/>
  <c r="AW46" i="1"/>
  <c r="AW45" i="1"/>
  <c r="AW44" i="1"/>
  <c r="AW43" i="1"/>
  <c r="AW42" i="1"/>
  <c r="AW41" i="1"/>
  <c r="AW40" i="1"/>
  <c r="AW37" i="1"/>
  <c r="AW36" i="1"/>
  <c r="AW35" i="1"/>
  <c r="AW34" i="1"/>
  <c r="AW33" i="1"/>
  <c r="AW32" i="1"/>
  <c r="AW31" i="1"/>
  <c r="AW28" i="1"/>
  <c r="AW27" i="1"/>
  <c r="AW26" i="1"/>
  <c r="AW25" i="1"/>
  <c r="AW24" i="1"/>
  <c r="AW23" i="1"/>
  <c r="AW22" i="1"/>
  <c r="AW19" i="1"/>
  <c r="AW18" i="1"/>
  <c r="AW17" i="1"/>
  <c r="AW16" i="1"/>
  <c r="AW15" i="1"/>
  <c r="AW14" i="1"/>
  <c r="AW13" i="1"/>
  <c r="AW10" i="1"/>
  <c r="AW9" i="1"/>
  <c r="AW8" i="1"/>
  <c r="AW7" i="1"/>
  <c r="AW6" i="1"/>
  <c r="AW5" i="1"/>
  <c r="AW4" i="1"/>
  <c r="AV20" i="1" l="1"/>
  <c r="H62" i="7"/>
  <c r="AI6" i="1"/>
  <c r="AI10" i="1"/>
  <c r="AJ10" i="1" s="1"/>
  <c r="BC15" i="1"/>
  <c r="BC45" i="1"/>
  <c r="E38" i="1"/>
  <c r="AM8" i="1"/>
  <c r="AY8" i="1" s="1"/>
  <c r="AY17" i="1"/>
  <c r="AS10" i="1"/>
  <c r="H61" i="7"/>
  <c r="H60" i="7"/>
  <c r="AS42" i="1"/>
  <c r="AS41" i="1"/>
  <c r="AS40" i="1"/>
  <c r="AT38" i="1"/>
  <c r="AV29" i="1"/>
  <c r="AS15" i="1"/>
  <c r="AS14" i="1"/>
  <c r="AS13" i="1"/>
  <c r="M47" i="1"/>
  <c r="AV40" i="1"/>
  <c r="AS38" i="1"/>
  <c r="AU29" i="1"/>
  <c r="BA29" i="1" s="1"/>
  <c r="AV6" i="1"/>
  <c r="AV5" i="1"/>
  <c r="AV4" i="1"/>
  <c r="F38" i="1"/>
  <c r="AH38" i="1" s="1"/>
  <c r="AU47" i="1"/>
  <c r="BA47" i="1" s="1"/>
  <c r="AV38" i="1"/>
  <c r="AT23" i="1"/>
  <c r="AU6" i="1"/>
  <c r="AU5" i="1"/>
  <c r="AU4" i="1"/>
  <c r="AI5" i="1"/>
  <c r="AI9" i="1"/>
  <c r="AJ9" i="1" s="1"/>
  <c r="AT42" i="1"/>
  <c r="AT41" i="1"/>
  <c r="AT40" i="1"/>
  <c r="AU38" i="1"/>
  <c r="AS23" i="1"/>
  <c r="AT15" i="1"/>
  <c r="AT14" i="1"/>
  <c r="AT13" i="1"/>
  <c r="T38" i="1"/>
  <c r="M20" i="1"/>
  <c r="F20" i="1"/>
  <c r="Z42" i="1"/>
  <c r="Z41" i="1"/>
  <c r="Z40" i="1"/>
  <c r="Y24" i="1"/>
  <c r="Y23" i="1"/>
  <c r="AB6" i="1"/>
  <c r="AB10" i="1"/>
  <c r="AC10" i="1" s="1"/>
  <c r="AK10" i="1" s="1"/>
  <c r="AB16" i="1"/>
  <c r="AC16" i="1" s="1"/>
  <c r="AB22" i="1"/>
  <c r="AC22" i="1" s="1"/>
  <c r="AB26" i="1"/>
  <c r="AC26" i="1" s="1"/>
  <c r="AB32" i="1"/>
  <c r="AB36" i="1"/>
  <c r="AC36" i="1" s="1"/>
  <c r="AB40" i="1"/>
  <c r="AB44" i="1"/>
  <c r="AC44" i="1" s="1"/>
  <c r="E47" i="1"/>
  <c r="AG47" i="1" s="1"/>
  <c r="X33" i="1"/>
  <c r="X32" i="1"/>
  <c r="X15" i="1"/>
  <c r="X14" i="1"/>
  <c r="X13" i="1"/>
  <c r="D38" i="1"/>
  <c r="AB4" i="1"/>
  <c r="AB8" i="1"/>
  <c r="AC8" i="1" s="1"/>
  <c r="AB14" i="1"/>
  <c r="AB18" i="1"/>
  <c r="AC18" i="1" s="1"/>
  <c r="AB24" i="1"/>
  <c r="AB28" i="1"/>
  <c r="AC28" i="1" s="1"/>
  <c r="AB34" i="1"/>
  <c r="AC34" i="1" s="1"/>
  <c r="AB42" i="1"/>
  <c r="AB46" i="1"/>
  <c r="AC46" i="1" s="1"/>
  <c r="Y42" i="1"/>
  <c r="Y41" i="1"/>
  <c r="Y40" i="1"/>
  <c r="Z15" i="1"/>
  <c r="Z14" i="1"/>
  <c r="Z13" i="1"/>
  <c r="AQ15" i="1"/>
  <c r="AI15" i="1"/>
  <c r="AQ19" i="1"/>
  <c r="BC19" i="1" s="1"/>
  <c r="AI19" i="1"/>
  <c r="AJ19" i="1" s="1"/>
  <c r="AQ25" i="1"/>
  <c r="BC25" i="1" s="1"/>
  <c r="AI25" i="1"/>
  <c r="AJ25" i="1" s="1"/>
  <c r="AQ31" i="1"/>
  <c r="BC31" i="1" s="1"/>
  <c r="AI31" i="1"/>
  <c r="AJ31" i="1" s="1"/>
  <c r="AQ35" i="1"/>
  <c r="BC35" i="1" s="1"/>
  <c r="AI35" i="1"/>
  <c r="AJ35" i="1" s="1"/>
  <c r="AQ43" i="1"/>
  <c r="BC43" i="1" s="1"/>
  <c r="AI43" i="1"/>
  <c r="AJ43" i="1" s="1"/>
  <c r="AA6" i="1"/>
  <c r="AA5" i="1"/>
  <c r="AA4" i="1"/>
  <c r="AA47" i="1"/>
  <c r="Z33" i="1"/>
  <c r="Z32" i="1"/>
  <c r="AI7" i="1"/>
  <c r="AQ13" i="1"/>
  <c r="BC13" i="1" s="1"/>
  <c r="AI13" i="1"/>
  <c r="AQ17" i="1"/>
  <c r="BC17" i="1" s="1"/>
  <c r="AI17" i="1"/>
  <c r="AJ17" i="1" s="1"/>
  <c r="AQ23" i="1"/>
  <c r="BC23" i="1" s="1"/>
  <c r="AI23" i="1"/>
  <c r="AQ27" i="1"/>
  <c r="BC27" i="1" s="1"/>
  <c r="AI27" i="1"/>
  <c r="AJ27" i="1" s="1"/>
  <c r="AQ33" i="1"/>
  <c r="BC33" i="1" s="1"/>
  <c r="AI33" i="1"/>
  <c r="AQ37" i="1"/>
  <c r="BC37" i="1" s="1"/>
  <c r="AI37" i="1"/>
  <c r="AJ37" i="1" s="1"/>
  <c r="AQ41" i="1"/>
  <c r="BC41" i="1" s="1"/>
  <c r="AI41" i="1"/>
  <c r="AQ45" i="1"/>
  <c r="AI45" i="1"/>
  <c r="AJ45" i="1" s="1"/>
  <c r="Y6" i="1"/>
  <c r="Y5" i="1"/>
  <c r="Y4" i="1"/>
  <c r="AA42" i="1"/>
  <c r="AA41" i="1"/>
  <c r="AA40" i="1"/>
  <c r="X38" i="1"/>
  <c r="AA24" i="1"/>
  <c r="AA23" i="1"/>
  <c r="AA20" i="1"/>
  <c r="AP40" i="1"/>
  <c r="AH40" i="1"/>
  <c r="AP14" i="1"/>
  <c r="BB14" i="1" s="1"/>
  <c r="AH14" i="1"/>
  <c r="AH4" i="1"/>
  <c r="AB5" i="1"/>
  <c r="AB9" i="1"/>
  <c r="AC9" i="1" s="1"/>
  <c r="AB15" i="1"/>
  <c r="AI16" i="1"/>
  <c r="AJ16" i="1" s="1"/>
  <c r="AQ16" i="1"/>
  <c r="BC16" i="1" s="1"/>
  <c r="AB19" i="1"/>
  <c r="AC19" i="1" s="1"/>
  <c r="AQ22" i="1"/>
  <c r="BC22" i="1" s="1"/>
  <c r="AI22" i="1"/>
  <c r="AJ22" i="1" s="1"/>
  <c r="AK22" i="1" s="1"/>
  <c r="AB25" i="1"/>
  <c r="AC25" i="1" s="1"/>
  <c r="AQ26" i="1"/>
  <c r="BC26" i="1" s="1"/>
  <c r="AI26" i="1"/>
  <c r="AJ26" i="1" s="1"/>
  <c r="AK26" i="1" s="1"/>
  <c r="AB31" i="1"/>
  <c r="AC31" i="1" s="1"/>
  <c r="AQ32" i="1"/>
  <c r="BC32" i="1" s="1"/>
  <c r="AI32" i="1"/>
  <c r="AB35" i="1"/>
  <c r="AC35" i="1" s="1"/>
  <c r="AQ36" i="1"/>
  <c r="BC36" i="1" s="1"/>
  <c r="AI36" i="1"/>
  <c r="AJ36" i="1" s="1"/>
  <c r="AK36" i="1" s="1"/>
  <c r="AB41" i="1"/>
  <c r="AB45" i="1"/>
  <c r="AC45" i="1" s="1"/>
  <c r="AQ42" i="1"/>
  <c r="BC42" i="1" s="1"/>
  <c r="AI42" i="1"/>
  <c r="AQ46" i="1"/>
  <c r="BC46" i="1" s="1"/>
  <c r="AI46" i="1"/>
  <c r="AJ46" i="1" s="1"/>
  <c r="AK46" i="1" s="1"/>
  <c r="E20" i="1"/>
  <c r="AG13" i="1"/>
  <c r="D29" i="1"/>
  <c r="AF29" i="1" s="1"/>
  <c r="D47" i="1"/>
  <c r="AF47" i="1" s="1"/>
  <c r="X6" i="1"/>
  <c r="X5" i="1"/>
  <c r="X4" i="1"/>
  <c r="AA33" i="1"/>
  <c r="AA32" i="1"/>
  <c r="M29" i="1"/>
  <c r="Z24" i="1"/>
  <c r="Z23" i="1"/>
  <c r="L20" i="1"/>
  <c r="Z20" i="1" s="1"/>
  <c r="Y15" i="1"/>
  <c r="Y14" i="1"/>
  <c r="K20" i="1"/>
  <c r="Y13" i="1"/>
  <c r="AP33" i="1"/>
  <c r="BB33" i="1" s="1"/>
  <c r="AH33" i="1"/>
  <c r="AE29" i="1"/>
  <c r="T20" i="1"/>
  <c r="T11" i="1"/>
  <c r="AH13" i="1"/>
  <c r="AP13" i="1"/>
  <c r="BB13" i="1" s="1"/>
  <c r="AP42" i="1"/>
  <c r="BB42" i="1" s="1"/>
  <c r="AH42" i="1"/>
  <c r="AJ42" i="1" s="1"/>
  <c r="AK42" i="1" s="1"/>
  <c r="AH32" i="1"/>
  <c r="AP32" i="1"/>
  <c r="BB32" i="1" s="1"/>
  <c r="AP24" i="1"/>
  <c r="BB24" i="1" s="1"/>
  <c r="AH24" i="1"/>
  <c r="Q11" i="1"/>
  <c r="AE7" i="1"/>
  <c r="AH6" i="1"/>
  <c r="AI4" i="1"/>
  <c r="AJ4" i="1" s="1"/>
  <c r="AB7" i="1"/>
  <c r="AC7" i="1" s="1"/>
  <c r="AI8" i="1"/>
  <c r="AJ8" i="1" s="1"/>
  <c r="AB13" i="1"/>
  <c r="AQ14" i="1"/>
  <c r="BC14" i="1" s="1"/>
  <c r="AI14" i="1"/>
  <c r="AB17" i="1"/>
  <c r="AC17" i="1" s="1"/>
  <c r="AQ18" i="1"/>
  <c r="AQ9" i="1" s="1"/>
  <c r="BC9" i="1" s="1"/>
  <c r="AI18" i="1"/>
  <c r="AJ18" i="1" s="1"/>
  <c r="AB23" i="1"/>
  <c r="AQ24" i="1"/>
  <c r="BC24" i="1" s="1"/>
  <c r="AI24" i="1"/>
  <c r="AB27" i="1"/>
  <c r="AC27" i="1" s="1"/>
  <c r="AQ28" i="1"/>
  <c r="BC28" i="1" s="1"/>
  <c r="AI28" i="1"/>
  <c r="AJ28" i="1" s="1"/>
  <c r="AB33" i="1"/>
  <c r="AI34" i="1"/>
  <c r="AJ34" i="1" s="1"/>
  <c r="AK34" i="1" s="1"/>
  <c r="AQ34" i="1"/>
  <c r="BC34" i="1" s="1"/>
  <c r="AB37" i="1"/>
  <c r="AC37" i="1" s="1"/>
  <c r="AB43" i="1"/>
  <c r="AC43" i="1" s="1"/>
  <c r="AQ40" i="1"/>
  <c r="BC40" i="1" s="1"/>
  <c r="AI40" i="1"/>
  <c r="AQ44" i="1"/>
  <c r="BC44" i="1" s="1"/>
  <c r="AI44" i="1"/>
  <c r="AJ44" i="1" s="1"/>
  <c r="AK44" i="1" s="1"/>
  <c r="D20" i="1"/>
  <c r="AF20" i="1" s="1"/>
  <c r="C20" i="1"/>
  <c r="X20" i="1" s="1"/>
  <c r="AE13" i="1"/>
  <c r="Z6" i="1"/>
  <c r="Z5" i="1"/>
  <c r="Z4" i="1"/>
  <c r="X47" i="1"/>
  <c r="X42" i="1"/>
  <c r="X41" i="1"/>
  <c r="AC41" i="1" s="1"/>
  <c r="X40" i="1"/>
  <c r="Y33" i="1"/>
  <c r="Y32" i="1"/>
  <c r="X29" i="1"/>
  <c r="X24" i="1"/>
  <c r="X23" i="1"/>
  <c r="AC23" i="1" s="1"/>
  <c r="AA15" i="1"/>
  <c r="AA14" i="1"/>
  <c r="AA13" i="1"/>
  <c r="T47" i="1"/>
  <c r="AH47" i="1" s="1"/>
  <c r="AH41" i="1"/>
  <c r="AJ41" i="1" s="1"/>
  <c r="AP41" i="1"/>
  <c r="BB41" i="1" s="1"/>
  <c r="T29" i="1"/>
  <c r="AH23" i="1"/>
  <c r="AJ23" i="1" s="1"/>
  <c r="AK23" i="1" s="1"/>
  <c r="AM23" i="1" s="1"/>
  <c r="AM29" i="1" s="1"/>
  <c r="AP23" i="1"/>
  <c r="AP29" i="1" s="1"/>
  <c r="AH15" i="1"/>
  <c r="AP15" i="1"/>
  <c r="BB15" i="1" s="1"/>
  <c r="AH5" i="1"/>
  <c r="R11" i="1"/>
  <c r="F29" i="1"/>
  <c r="L47" i="1"/>
  <c r="Z47" i="1" s="1"/>
  <c r="G11" i="1"/>
  <c r="H11" i="1" s="1"/>
  <c r="U29" i="1"/>
  <c r="E29" i="1"/>
  <c r="AG29" i="1" s="1"/>
  <c r="K47" i="1"/>
  <c r="K38" i="1"/>
  <c r="Y38" i="1" s="1"/>
  <c r="G38" i="1"/>
  <c r="H38" i="1" s="1"/>
  <c r="F11" i="1"/>
  <c r="AA11" i="1" s="1"/>
  <c r="C11" i="1"/>
  <c r="X11" i="1" s="1"/>
  <c r="N20" i="1"/>
  <c r="U20" i="1"/>
  <c r="G29" i="1"/>
  <c r="H29" i="1" s="1"/>
  <c r="U38" i="1"/>
  <c r="U47" i="1"/>
  <c r="E11" i="1"/>
  <c r="Z11" i="1" s="1"/>
  <c r="M38" i="1"/>
  <c r="AA38" i="1" s="1"/>
  <c r="U11" i="1"/>
  <c r="G20" i="1"/>
  <c r="H20" i="1" s="1"/>
  <c r="N29" i="1"/>
  <c r="N38" i="1"/>
  <c r="D11" i="1"/>
  <c r="Y11" i="1" s="1"/>
  <c r="N47" i="1"/>
  <c r="L38" i="1"/>
  <c r="Z38" i="1" s="1"/>
  <c r="G47" i="1"/>
  <c r="H47" i="1" s="1"/>
  <c r="L29" i="1"/>
  <c r="N11" i="1"/>
  <c r="F62" i="7" l="1"/>
  <c r="BC18" i="1"/>
  <c r="AK16" i="1"/>
  <c r="AT5" i="1"/>
  <c r="AT47" i="1"/>
  <c r="AT29" i="1"/>
  <c r="AV11" i="1"/>
  <c r="G63" i="7" s="1"/>
  <c r="G60" i="7"/>
  <c r="AS47" i="1"/>
  <c r="G5" i="6"/>
  <c r="AJ13" i="1"/>
  <c r="AK13" i="1" s="1"/>
  <c r="AK28" i="1"/>
  <c r="AK8" i="1"/>
  <c r="AJ7" i="1"/>
  <c r="AT6" i="1"/>
  <c r="BA4" i="1"/>
  <c r="F60" i="7"/>
  <c r="G61" i="7"/>
  <c r="AV47" i="1"/>
  <c r="BB40" i="1"/>
  <c r="AS6" i="1"/>
  <c r="BB23" i="1"/>
  <c r="G4" i="6"/>
  <c r="AK41" i="1"/>
  <c r="AN41" i="1" s="1"/>
  <c r="AZ41" i="1" s="1"/>
  <c r="AS29" i="1"/>
  <c r="AY29" i="1" s="1"/>
  <c r="AY23" i="1"/>
  <c r="F61" i="7"/>
  <c r="G62" i="7"/>
  <c r="F6" i="6"/>
  <c r="F7" i="6" s="1"/>
  <c r="BB29" i="1"/>
  <c r="AK35" i="1"/>
  <c r="AK25" i="1"/>
  <c r="AT4" i="1"/>
  <c r="AT20" i="1"/>
  <c r="AN23" i="1"/>
  <c r="AZ23" i="1" s="1"/>
  <c r="AK7" i="1"/>
  <c r="AS4" i="1"/>
  <c r="AK43" i="1"/>
  <c r="AK31" i="1"/>
  <c r="AK9" i="1"/>
  <c r="G3" i="6"/>
  <c r="AO18" i="1"/>
  <c r="BA18" i="1" s="1"/>
  <c r="AP18" i="1"/>
  <c r="AJ24" i="1"/>
  <c r="AJ40" i="1"/>
  <c r="AK40" i="1" s="1"/>
  <c r="AK45" i="1"/>
  <c r="AK37" i="1"/>
  <c r="AK27" i="1"/>
  <c r="AC13" i="1"/>
  <c r="AS5" i="1"/>
  <c r="AC5" i="1"/>
  <c r="AC33" i="1"/>
  <c r="Z29" i="1"/>
  <c r="AC24" i="1"/>
  <c r="AC42" i="1"/>
  <c r="AH20" i="1"/>
  <c r="AC6" i="1"/>
  <c r="BA17" i="1"/>
  <c r="AC14" i="1"/>
  <c r="AC15" i="1"/>
  <c r="AC40" i="1"/>
  <c r="AC4" i="1"/>
  <c r="AK4" i="1" s="1"/>
  <c r="AC32" i="1"/>
  <c r="AP47" i="1"/>
  <c r="Y29" i="1"/>
  <c r="AQ5" i="1"/>
  <c r="BC5" i="1" s="1"/>
  <c r="AH11" i="1"/>
  <c r="AQ7" i="1"/>
  <c r="BC7" i="1" s="1"/>
  <c r="AE20" i="1"/>
  <c r="H41" i="1"/>
  <c r="V20" i="1"/>
  <c r="AQ20" i="1"/>
  <c r="AI20" i="1"/>
  <c r="V29" i="1"/>
  <c r="AQ29" i="1"/>
  <c r="G4" i="5" s="1"/>
  <c r="AI29" i="1"/>
  <c r="AH29" i="1"/>
  <c r="AJ29" i="1" s="1"/>
  <c r="AM33" i="1"/>
  <c r="AY33" i="1" s="1"/>
  <c r="AE33" i="1"/>
  <c r="AF33" i="1"/>
  <c r="AN33" i="1"/>
  <c r="AZ33" i="1" s="1"/>
  <c r="O11" i="1"/>
  <c r="AB11" i="1"/>
  <c r="AC11" i="1" s="1"/>
  <c r="O47" i="1"/>
  <c r="AB47" i="1"/>
  <c r="V47" i="1"/>
  <c r="AQ47" i="1"/>
  <c r="BC47" i="1" s="1"/>
  <c r="AI47" i="1"/>
  <c r="AJ47" i="1" s="1"/>
  <c r="O20" i="1"/>
  <c r="AB20" i="1"/>
  <c r="H37" i="1"/>
  <c r="Y47" i="1"/>
  <c r="H8" i="1"/>
  <c r="AF11" i="1"/>
  <c r="AP6" i="1"/>
  <c r="BB6" i="1" s="1"/>
  <c r="AA29" i="1"/>
  <c r="AP5" i="1"/>
  <c r="BB5" i="1" s="1"/>
  <c r="AQ4" i="1"/>
  <c r="BC4" i="1" s="1"/>
  <c r="AG32" i="1"/>
  <c r="AO32" i="1"/>
  <c r="BA32" i="1" s="1"/>
  <c r="S5" i="1"/>
  <c r="S38" i="1"/>
  <c r="AG38" i="1" s="1"/>
  <c r="S6" i="1"/>
  <c r="AO33" i="1"/>
  <c r="BA33" i="1" s="1"/>
  <c r="AG33" i="1"/>
  <c r="AQ10" i="1"/>
  <c r="BC10" i="1" s="1"/>
  <c r="O29" i="1"/>
  <c r="AB29" i="1"/>
  <c r="V11" i="1"/>
  <c r="AI11" i="1"/>
  <c r="V38" i="1"/>
  <c r="AQ38" i="1"/>
  <c r="G5" i="5" s="1"/>
  <c r="AI38" i="1"/>
  <c r="AM32" i="1"/>
  <c r="AY32" i="1" s="1"/>
  <c r="AE32" i="1"/>
  <c r="Q38" i="1"/>
  <c r="AE38" i="1" s="1"/>
  <c r="AP38" i="1"/>
  <c r="BB38" i="1" s="1"/>
  <c r="AP4" i="1"/>
  <c r="BB4" i="1" s="1"/>
  <c r="AN32" i="1"/>
  <c r="AZ32" i="1" s="1"/>
  <c r="AF32" i="1"/>
  <c r="R38" i="1"/>
  <c r="AF38" i="1" s="1"/>
  <c r="O38" i="1"/>
  <c r="AB38" i="1"/>
  <c r="AC38" i="1" s="1"/>
  <c r="H23" i="1"/>
  <c r="V26" i="1"/>
  <c r="AE11" i="1"/>
  <c r="Y20" i="1"/>
  <c r="AC20" i="1" s="1"/>
  <c r="AQ8" i="1"/>
  <c r="BC8" i="1" s="1"/>
  <c r="AQ6" i="1"/>
  <c r="BC6" i="1" s="1"/>
  <c r="O46" i="1"/>
  <c r="O18" i="1"/>
  <c r="V42" i="1"/>
  <c r="H40" i="1"/>
  <c r="V32" i="1"/>
  <c r="O25" i="1"/>
  <c r="O19" i="1"/>
  <c r="H14" i="1"/>
  <c r="V6" i="1"/>
  <c r="V33" i="1"/>
  <c r="H19" i="1"/>
  <c r="V7" i="1"/>
  <c r="V45" i="1"/>
  <c r="H43" i="1"/>
  <c r="O32" i="1"/>
  <c r="V17" i="1"/>
  <c r="H46" i="1"/>
  <c r="V34" i="1"/>
  <c r="O27" i="1"/>
  <c r="H22" i="1"/>
  <c r="V14" i="1"/>
  <c r="O7" i="1"/>
  <c r="V25" i="1"/>
  <c r="V15" i="1"/>
  <c r="O42" i="1"/>
  <c r="V35" i="1"/>
  <c r="V31" i="1"/>
  <c r="O14" i="1"/>
  <c r="O45" i="1"/>
  <c r="V36" i="1"/>
  <c r="O31" i="1"/>
  <c r="H24" i="1"/>
  <c r="H18" i="1"/>
  <c r="V10" i="1"/>
  <c r="O5" i="1"/>
  <c r="V27" i="1"/>
  <c r="O16" i="1"/>
  <c r="H5" i="1"/>
  <c r="V41" i="1"/>
  <c r="V37" i="1"/>
  <c r="H31" i="1"/>
  <c r="H15" i="1"/>
  <c r="V44" i="1"/>
  <c r="H42" i="1"/>
  <c r="O33" i="1"/>
  <c r="H26" i="1"/>
  <c r="V18" i="1"/>
  <c r="O13" i="1"/>
  <c r="H6" i="1"/>
  <c r="O24" i="1"/>
  <c r="H13" i="1"/>
  <c r="H45" i="1"/>
  <c r="O34" i="1"/>
  <c r="H27" i="1"/>
  <c r="V9" i="1"/>
  <c r="O41" i="1"/>
  <c r="O35" i="1"/>
  <c r="H28" i="1"/>
  <c r="V22" i="1"/>
  <c r="V16" i="1"/>
  <c r="O9" i="1"/>
  <c r="H4" i="1"/>
  <c r="H25" i="1"/>
  <c r="V13" i="1"/>
  <c r="O4" i="1"/>
  <c r="O44" i="1"/>
  <c r="O36" i="1"/>
  <c r="O26" i="1"/>
  <c r="O10" i="1"/>
  <c r="V40" i="1"/>
  <c r="O37" i="1"/>
  <c r="H32" i="1"/>
  <c r="V24" i="1"/>
  <c r="O17" i="1"/>
  <c r="H10" i="1"/>
  <c r="V4" i="1"/>
  <c r="V19" i="1"/>
  <c r="O8" i="1"/>
  <c r="V43" i="1"/>
  <c r="H33" i="1"/>
  <c r="V5" i="1"/>
  <c r="V46" i="1"/>
  <c r="H44" i="1"/>
  <c r="H34" i="1"/>
  <c r="O15" i="1"/>
  <c r="O22" i="1"/>
  <c r="H9" i="1"/>
  <c r="O40" i="1"/>
  <c r="H35" i="1"/>
  <c r="V23" i="1"/>
  <c r="O6" i="1"/>
  <c r="O43" i="1"/>
  <c r="H36" i="1"/>
  <c r="V28" i="1"/>
  <c r="O23" i="1"/>
  <c r="H16" i="1"/>
  <c r="V8" i="1"/>
  <c r="O28" i="1"/>
  <c r="H17" i="1"/>
  <c r="H7" i="1"/>
  <c r="G7" i="6" l="1"/>
  <c r="H63" i="7"/>
  <c r="BC29" i="1"/>
  <c r="BB47" i="1"/>
  <c r="E62" i="7"/>
  <c r="E61" i="7"/>
  <c r="AK24" i="1"/>
  <c r="AN24" i="1" s="1"/>
  <c r="AO16" i="1"/>
  <c r="BA16" i="1" s="1"/>
  <c r="AN43" i="1"/>
  <c r="AZ43" i="1" s="1"/>
  <c r="AN16" i="1"/>
  <c r="AZ16" i="1" s="1"/>
  <c r="AM16" i="1"/>
  <c r="AY16" i="1" s="1"/>
  <c r="AP16" i="1"/>
  <c r="BB16" i="1" s="1"/>
  <c r="AN8" i="1"/>
  <c r="AZ8" i="1" s="1"/>
  <c r="AZ17" i="1"/>
  <c r="D61" i="7"/>
  <c r="AP9" i="1"/>
  <c r="BB9" i="1" s="1"/>
  <c r="BB18" i="1"/>
  <c r="AM41" i="1"/>
  <c r="AY41" i="1" s="1"/>
  <c r="D62" i="7"/>
  <c r="BC38" i="1"/>
  <c r="AC47" i="1"/>
  <c r="G3" i="5"/>
  <c r="AQ11" i="1"/>
  <c r="BC11" i="1" s="1"/>
  <c r="D60" i="7"/>
  <c r="E60" i="7"/>
  <c r="AT11" i="1"/>
  <c r="E63" i="7" s="1"/>
  <c r="BC20" i="1"/>
  <c r="AN13" i="1"/>
  <c r="AZ13" i="1" s="1"/>
  <c r="AM13" i="1"/>
  <c r="AY13" i="1" s="1"/>
  <c r="AM42" i="1"/>
  <c r="AY42" i="1" s="1"/>
  <c r="AN42" i="1"/>
  <c r="AZ42" i="1" s="1"/>
  <c r="AO19" i="1"/>
  <c r="AP19" i="1"/>
  <c r="AN19" i="1"/>
  <c r="AZ19" i="1" s="1"/>
  <c r="AC29" i="1"/>
  <c r="AK29" i="1" s="1"/>
  <c r="AK47" i="1"/>
  <c r="G7" i="5"/>
  <c r="AM18" i="1"/>
  <c r="AO9" i="1"/>
  <c r="BA9" i="1" s="1"/>
  <c r="AO8" i="1"/>
  <c r="BA8" i="1" s="1"/>
  <c r="AJ38" i="1"/>
  <c r="AK38" i="1" s="1"/>
  <c r="AJ32" i="1"/>
  <c r="AK32" i="1" s="1"/>
  <c r="AJ33" i="1"/>
  <c r="AK33" i="1" s="1"/>
  <c r="AM38" i="1"/>
  <c r="AY38" i="1" s="1"/>
  <c r="AN38" i="1"/>
  <c r="AZ38" i="1" s="1"/>
  <c r="AO38" i="1"/>
  <c r="BA38" i="1" s="1"/>
  <c r="AG5" i="1"/>
  <c r="AJ5" i="1" s="1"/>
  <c r="AK5" i="1" s="1"/>
  <c r="S14" i="1"/>
  <c r="S11" i="1"/>
  <c r="AG11" i="1" s="1"/>
  <c r="AJ11" i="1" s="1"/>
  <c r="AK11" i="1" s="1"/>
  <c r="AG6" i="1"/>
  <c r="AJ6" i="1" s="1"/>
  <c r="AK6" i="1" s="1"/>
  <c r="S15" i="1"/>
  <c r="AP8" i="1" l="1"/>
  <c r="BB8" i="1" s="1"/>
  <c r="BB17" i="1"/>
  <c r="AO10" i="1"/>
  <c r="BA10" i="1" s="1"/>
  <c r="BA19" i="1"/>
  <c r="D6" i="6"/>
  <c r="D7" i="6" s="1"/>
  <c r="AP10" i="1"/>
  <c r="BB10" i="1" s="1"/>
  <c r="BB19" i="1"/>
  <c r="AN29" i="1"/>
  <c r="AZ29" i="1" s="1"/>
  <c r="AZ24" i="1"/>
  <c r="AM9" i="1"/>
  <c r="AY9" i="1" s="1"/>
  <c r="AY18" i="1"/>
  <c r="AM40" i="1"/>
  <c r="AY40" i="1" s="1"/>
  <c r="AN40" i="1"/>
  <c r="AM19" i="1"/>
  <c r="AN10" i="1"/>
  <c r="AZ10" i="1" s="1"/>
  <c r="AN7" i="1"/>
  <c r="AZ7" i="1" s="1"/>
  <c r="AO14" i="1"/>
  <c r="BA14" i="1" s="1"/>
  <c r="AG14" i="1"/>
  <c r="AJ14" i="1" s="1"/>
  <c r="AK14" i="1" s="1"/>
  <c r="S20" i="1"/>
  <c r="AG20" i="1" s="1"/>
  <c r="AJ20" i="1" s="1"/>
  <c r="AK20" i="1" s="1"/>
  <c r="AO15" i="1"/>
  <c r="AG15" i="1"/>
  <c r="AJ15" i="1" s="1"/>
  <c r="AK15" i="1" s="1"/>
  <c r="AO6" i="1" l="1"/>
  <c r="BA6" i="1" s="1"/>
  <c r="BA15" i="1"/>
  <c r="AM10" i="1"/>
  <c r="AY10" i="1" s="1"/>
  <c r="AY19" i="1"/>
  <c r="AN47" i="1"/>
  <c r="AZ47" i="1" s="1"/>
  <c r="AZ40" i="1"/>
  <c r="AN4" i="1"/>
  <c r="AZ4" i="1" s="1"/>
  <c r="AN15" i="1"/>
  <c r="AM15" i="1"/>
  <c r="AM4" i="1"/>
  <c r="AY4" i="1" s="1"/>
  <c r="AM47" i="1"/>
  <c r="AY47" i="1" s="1"/>
  <c r="AM14" i="1"/>
  <c r="AY14" i="1" s="1"/>
  <c r="AN14" i="1"/>
  <c r="AZ14" i="1" s="1"/>
  <c r="AO5" i="1"/>
  <c r="BA5" i="1" s="1"/>
  <c r="AN6" i="1" l="1"/>
  <c r="AZ6" i="1" s="1"/>
  <c r="AZ15" i="1"/>
  <c r="AM6" i="1"/>
  <c r="AY6" i="1" s="1"/>
  <c r="AY15" i="1"/>
  <c r="AN5" i="1"/>
  <c r="AZ5" i="1" s="1"/>
  <c r="AN20" i="1"/>
  <c r="AZ20" i="1" s="1"/>
  <c r="AM5" i="1"/>
  <c r="AY5" i="1" s="1"/>
  <c r="AN11" i="1" l="1"/>
  <c r="AZ11" i="1" s="1"/>
  <c r="AM20" i="1"/>
  <c r="AS7" i="1"/>
  <c r="AY7" i="1" s="1"/>
  <c r="AU7" i="1"/>
  <c r="AM7" i="1"/>
  <c r="AM11" i="1" s="1"/>
  <c r="C6" i="5" s="1"/>
  <c r="C7" i="5" s="1"/>
  <c r="AS20" i="1"/>
  <c r="AU16" i="1"/>
  <c r="AU20" i="1" s="1"/>
  <c r="D6" i="5" l="1"/>
  <c r="D7" i="5" s="1"/>
  <c r="AY20" i="1"/>
  <c r="AS11" i="1"/>
  <c r="AP20" i="1"/>
  <c r="BB20" i="1" s="1"/>
  <c r="AU11" i="1"/>
  <c r="AP7" i="1"/>
  <c r="AO7" i="1" l="1"/>
  <c r="AO20" i="1"/>
  <c r="BA20" i="1" s="1"/>
  <c r="AP11" i="1"/>
  <c r="BB7" i="1"/>
  <c r="AY11" i="1"/>
  <c r="C6" i="6"/>
  <c r="C7" i="6" s="1"/>
  <c r="D63" i="7"/>
  <c r="E6" i="6"/>
  <c r="E7" i="6" s="1"/>
  <c r="F63" i="7"/>
  <c r="AO11" i="1" l="1"/>
  <c r="BA7" i="1"/>
  <c r="F6" i="5"/>
  <c r="F7" i="5" s="1"/>
  <c r="BB11" i="1"/>
  <c r="E6" i="5" l="1"/>
  <c r="E7" i="5" s="1"/>
  <c r="BA11" i="1"/>
</calcChain>
</file>

<file path=xl/sharedStrings.xml><?xml version="1.0" encoding="utf-8"?>
<sst xmlns="http://schemas.openxmlformats.org/spreadsheetml/2006/main" count="230" uniqueCount="56">
  <si>
    <t>Tonnes</t>
  </si>
  <si>
    <t>Mt GWP TAR</t>
  </si>
  <si>
    <t>Mt GWP FAR</t>
  </si>
  <si>
    <t>Production</t>
  </si>
  <si>
    <t>Import</t>
  </si>
  <si>
    <t>Export</t>
  </si>
  <si>
    <t>Own Feedstock use</t>
  </si>
  <si>
    <t>IA Feedstock Use</t>
  </si>
  <si>
    <t>Own Destruction</t>
  </si>
  <si>
    <t>Off-site Destruction</t>
  </si>
  <si>
    <t>Consumption</t>
  </si>
  <si>
    <t>all F-gases</t>
  </si>
  <si>
    <t>HFCs</t>
  </si>
  <si>
    <t>PFCs</t>
  </si>
  <si>
    <t>SF6</t>
  </si>
  <si>
    <t>% in 2011</t>
  </si>
  <si>
    <t>&lt; 3 comp.</t>
  </si>
  <si>
    <t>n.a.</t>
  </si>
  <si>
    <t>'other / not disclosed F-Gases'</t>
  </si>
  <si>
    <t>average GWP TAR</t>
  </si>
  <si>
    <t>average GWP FAR</t>
  </si>
  <si>
    <t>approximated results</t>
  </si>
  <si>
    <t>average</t>
  </si>
  <si>
    <t>FAR /TAR</t>
  </si>
  <si>
    <t>F-Gases, unspecified</t>
  </si>
  <si>
    <t>Total Calculated Consumption</t>
  </si>
  <si>
    <t>Mt CO2-eq TAR</t>
  </si>
  <si>
    <t>Exports</t>
  </si>
  <si>
    <t>Imports</t>
  </si>
  <si>
    <t>TAR</t>
  </si>
  <si>
    <t>in Mt CO2-eq</t>
  </si>
  <si>
    <t>Check</t>
  </si>
  <si>
    <t>GWP FAR / GWP TAR</t>
  </si>
  <si>
    <t>tonnes</t>
  </si>
  <si>
    <t>metric tonnes</t>
  </si>
  <si>
    <t>average GWP</t>
  </si>
  <si>
    <t>Consumption 2011</t>
  </si>
  <si>
    <t>Consumption 2010</t>
  </si>
  <si>
    <t>Consumption 2009</t>
  </si>
  <si>
    <t>Consumption2008</t>
  </si>
  <si>
    <t>Consumption 2007</t>
  </si>
  <si>
    <t>Exports 2007</t>
  </si>
  <si>
    <t>Exports 2008</t>
  </si>
  <si>
    <t>Exports 2009</t>
  </si>
  <si>
    <t>Exports 2010</t>
  </si>
  <si>
    <t>Exports 2011</t>
  </si>
  <si>
    <t>Imports 2007</t>
  </si>
  <si>
    <t>Imports 2008</t>
  </si>
  <si>
    <t>Imports 2009</t>
  </si>
  <si>
    <t>Imports 2010</t>
  </si>
  <si>
    <t>Production 2011</t>
  </si>
  <si>
    <t>Production 2010</t>
  </si>
  <si>
    <t>Production 2009</t>
  </si>
  <si>
    <t>Production 2008</t>
  </si>
  <si>
    <t>Production 2007</t>
  </si>
  <si>
    <t>Imports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</si>
</sst>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#,##0;\-#,##0;\-"/>
    <numFmt numFmtId="165" formatCode="#,##0.0;\-#,##0.0;\-"/>
    <numFmt numFmtId="166" formatCode="0.0%;\ \-0.0%;\ \-\ \%"/>
    <numFmt numFmtId="167" formatCode="_(* #,##0.00_);_(* \(#,##0.00\);_(* &quot;-&quot;??_);_(@_)"/>
    <numFmt numFmtId="168" formatCode="_-* #,##0.0_-;\-* #,##0.0_-;_-* &quot;-&quot;??_-;_-@_-"/>
    <numFmt numFmtId="169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92CDDC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5" fillId="0" borderId="0"/>
    <xf numFmtId="167" fontId="7" fillId="0" borderId="0" applyFont="0" applyFill="0" applyBorder="0" applyAlignment="0" applyProtection="0"/>
    <xf numFmtId="0" fontId="4" fillId="0" borderId="0"/>
    <xf numFmtId="0" fontId="7" fillId="0" borderId="0"/>
    <xf numFmtId="0" fontId="4" fillId="0" borderId="0"/>
    <xf numFmtId="0" fontId="7" fillId="0" borderId="0"/>
    <xf numFmtId="0" fontId="5" fillId="0" borderId="0"/>
    <xf numFmtId="0" fontId="7" fillId="0" borderId="0"/>
    <xf numFmtId="0" fontId="8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164" fontId="2" fillId="0" borderId="1" xfId="0" quotePrefix="1" applyNumberFormat="1" applyFont="1" applyFill="1" applyBorder="1" applyAlignment="1">
      <alignment horizontal="right"/>
    </xf>
    <xf numFmtId="165" fontId="2" fillId="0" borderId="1" xfId="0" quotePrefix="1" applyNumberFormat="1" applyFont="1" applyFill="1" applyBorder="1" applyAlignment="1">
      <alignment horizontal="right"/>
    </xf>
    <xf numFmtId="0" fontId="1" fillId="0" borderId="0" xfId="0" applyFont="1"/>
    <xf numFmtId="164" fontId="3" fillId="0" borderId="1" xfId="0" quotePrefix="1" applyNumberFormat="1" applyFont="1" applyFill="1" applyBorder="1" applyAlignment="1">
      <alignment horizontal="right"/>
    </xf>
    <xf numFmtId="165" fontId="3" fillId="0" borderId="1" xfId="0" quotePrefix="1" applyNumberFormat="1" applyFont="1" applyFill="1" applyBorder="1" applyAlignment="1">
      <alignment horizontal="right"/>
    </xf>
    <xf numFmtId="0" fontId="0" fillId="0" borderId="0" xfId="0" quotePrefix="1"/>
    <xf numFmtId="0" fontId="0" fillId="0" borderId="0" xfId="0" applyAlignment="1">
      <alignment horizontal="center"/>
    </xf>
    <xf numFmtId="166" fontId="0" fillId="0" borderId="0" xfId="0" applyNumberFormat="1"/>
    <xf numFmtId="166" fontId="2" fillId="0" borderId="1" xfId="0" quotePrefix="1" applyNumberFormat="1" applyFont="1" applyFill="1" applyBorder="1" applyAlignment="1">
      <alignment horizontal="right"/>
    </xf>
    <xf numFmtId="166" fontId="3" fillId="0" borderId="1" xfId="0" quotePrefix="1" applyNumberFormat="1" applyFont="1" applyFill="1" applyBorder="1" applyAlignment="1">
      <alignment horizontal="right"/>
    </xf>
    <xf numFmtId="165" fontId="2" fillId="2" borderId="1" xfId="0" quotePrefix="1" applyNumberFormat="1" applyFont="1" applyFill="1" applyBorder="1" applyAlignment="1">
      <alignment horizontal="right"/>
    </xf>
    <xf numFmtId="164" fontId="2" fillId="2" borderId="1" xfId="0" quotePrefix="1" applyNumberFormat="1" applyFont="1" applyFill="1" applyBorder="1" applyAlignment="1">
      <alignment horizontal="right"/>
    </xf>
    <xf numFmtId="164" fontId="2" fillId="3" borderId="1" xfId="0" quotePrefix="1" applyNumberFormat="1" applyFont="1" applyFill="1" applyBorder="1" applyAlignment="1">
      <alignment horizontal="right"/>
    </xf>
    <xf numFmtId="0" fontId="2" fillId="2" borderId="1" xfId="0" quotePrefix="1" applyNumberFormat="1" applyFont="1" applyFill="1" applyBorder="1" applyAlignment="1">
      <alignment horizontal="right"/>
    </xf>
    <xf numFmtId="164" fontId="2" fillId="4" borderId="1" xfId="0" quotePrefix="1" applyNumberFormat="1" applyFont="1" applyFill="1" applyBorder="1" applyAlignment="1">
      <alignment horizontal="right"/>
    </xf>
    <xf numFmtId="164" fontId="3" fillId="4" borderId="1" xfId="0" quotePrefix="1" applyNumberFormat="1" applyFont="1" applyFill="1" applyBorder="1" applyAlignment="1">
      <alignment horizontal="right"/>
    </xf>
    <xf numFmtId="165" fontId="2" fillId="5" borderId="1" xfId="0" quotePrefix="1" applyNumberFormat="1" applyFont="1" applyFill="1" applyBorder="1" applyAlignment="1">
      <alignment horizontal="right"/>
    </xf>
    <xf numFmtId="166" fontId="2" fillId="6" borderId="1" xfId="0" quotePrefix="1" applyNumberFormat="1" applyFont="1" applyFill="1" applyBorder="1" applyAlignment="1">
      <alignment horizontal="right"/>
    </xf>
    <xf numFmtId="166" fontId="3" fillId="6" borderId="1" xfId="0" quotePrefix="1" applyNumberFormat="1" applyFont="1" applyFill="1" applyBorder="1" applyAlignment="1">
      <alignment horizontal="right"/>
    </xf>
    <xf numFmtId="166" fontId="0" fillId="6" borderId="0" xfId="0" applyNumberFormat="1" applyFill="1"/>
    <xf numFmtId="166" fontId="2" fillId="7" borderId="1" xfId="0" quotePrefix="1" applyNumberFormat="1" applyFont="1" applyFill="1" applyBorder="1" applyAlignment="1">
      <alignment horizontal="right"/>
    </xf>
    <xf numFmtId="166" fontId="3" fillId="7" borderId="1" xfId="0" quotePrefix="1" applyNumberFormat="1" applyFont="1" applyFill="1" applyBorder="1" applyAlignment="1">
      <alignment horizontal="right"/>
    </xf>
    <xf numFmtId="165" fontId="2" fillId="8" borderId="1" xfId="0" quotePrefix="1" applyNumberFormat="1" applyFont="1" applyFill="1" applyBorder="1" applyAlignment="1">
      <alignment horizontal="right"/>
    </xf>
    <xf numFmtId="0" fontId="5" fillId="0" borderId="0" xfId="1"/>
    <xf numFmtId="0" fontId="5" fillId="0" borderId="0" xfId="1" applyBorder="1"/>
    <xf numFmtId="3" fontId="5" fillId="0" borderId="0" xfId="1" applyNumberFormat="1"/>
    <xf numFmtId="4" fontId="5" fillId="0" borderId="2" xfId="1" applyNumberFormat="1" applyBorder="1"/>
    <xf numFmtId="0" fontId="5" fillId="0" borderId="2" xfId="1" applyBorder="1"/>
    <xf numFmtId="0" fontId="6" fillId="0" borderId="2" xfId="1" applyFont="1" applyBorder="1" applyAlignment="1">
      <alignment horizontal="center"/>
    </xf>
    <xf numFmtId="4" fontId="5" fillId="0" borderId="0" xfId="1" applyNumberFormat="1"/>
    <xf numFmtId="0" fontId="5" fillId="2" borderId="0" xfId="1" applyFill="1"/>
    <xf numFmtId="166" fontId="2" fillId="9" borderId="1" xfId="0" quotePrefix="1" applyNumberFormat="1" applyFont="1" applyFill="1" applyBorder="1" applyAlignment="1">
      <alignment horizontal="right"/>
    </xf>
    <xf numFmtId="9" fontId="2" fillId="0" borderId="1" xfId="10" quotePrefix="1" applyFont="1" applyFill="1" applyBorder="1" applyAlignment="1">
      <alignment horizontal="right"/>
    </xf>
    <xf numFmtId="9" fontId="3" fillId="0" borderId="1" xfId="10" quotePrefix="1" applyFont="1" applyFill="1" applyBorder="1" applyAlignment="1">
      <alignment horizontal="right"/>
    </xf>
    <xf numFmtId="0" fontId="2" fillId="0" borderId="1" xfId="0" quotePrefix="1" applyNumberFormat="1" applyFont="1" applyFill="1" applyBorder="1" applyAlignment="1">
      <alignment horizontal="right"/>
    </xf>
    <xf numFmtId="164" fontId="2" fillId="8" borderId="1" xfId="0" quotePrefix="1" applyNumberFormat="1" applyFont="1" applyFill="1" applyBorder="1" applyAlignment="1">
      <alignment horizontal="right"/>
    </xf>
    <xf numFmtId="168" fontId="0" fillId="0" borderId="0" xfId="11" applyNumberFormat="1" applyFont="1"/>
    <xf numFmtId="169" fontId="0" fillId="0" borderId="0" xfId="11" applyNumberFormat="1" applyFont="1"/>
    <xf numFmtId="169" fontId="0" fillId="2" borderId="0" xfId="11" applyNumberFormat="1" applyFont="1" applyFill="1"/>
    <xf numFmtId="0" fontId="0" fillId="2" borderId="0" xfId="0" applyFill="1" applyAlignment="1">
      <alignment horizontal="right"/>
    </xf>
    <xf numFmtId="10" fontId="0" fillId="0" borderId="0" xfId="10" applyNumberFormat="1" applyFont="1"/>
    <xf numFmtId="0" fontId="9" fillId="0" borderId="0" xfId="0" applyFont="1" applyBorder="1" applyAlignment="1">
      <alignment vertical="center"/>
    </xf>
    <xf numFmtId="0" fontId="0" fillId="0" borderId="0" xfId="0" applyBorder="1"/>
    <xf numFmtId="0" fontId="11" fillId="10" borderId="2" xfId="0" applyFont="1" applyFill="1" applyBorder="1" applyAlignment="1">
      <alignment vertical="center"/>
    </xf>
    <xf numFmtId="0" fontId="11" fillId="10" borderId="2" xfId="0" applyFont="1" applyFill="1" applyBorder="1" applyAlignment="1">
      <alignment horizontal="right" vertical="center"/>
    </xf>
    <xf numFmtId="0" fontId="12" fillId="11" borderId="2" xfId="0" applyFont="1" applyFill="1" applyBorder="1" applyAlignment="1">
      <alignment horizontal="right" vertical="center"/>
    </xf>
    <xf numFmtId="0" fontId="12" fillId="12" borderId="2" xfId="0" applyFont="1" applyFill="1" applyBorder="1" applyAlignment="1">
      <alignment horizontal="right" vertical="center"/>
    </xf>
    <xf numFmtId="0" fontId="12" fillId="13" borderId="2" xfId="0" applyFont="1" applyFill="1" applyBorder="1" applyAlignment="1">
      <alignment horizontal="right" vertical="center"/>
    </xf>
    <xf numFmtId="0" fontId="12" fillId="14" borderId="2" xfId="0" applyFont="1" applyFill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5" fillId="0" borderId="0" xfId="1" applyFill="1" applyBorder="1"/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6" fillId="0" borderId="0" xfId="1" applyFont="1" applyBorder="1" applyAlignment="1">
      <alignment horizontal="center"/>
    </xf>
    <xf numFmtId="4" fontId="5" fillId="0" borderId="0" xfId="1" applyNumberFormat="1" applyBorder="1"/>
    <xf numFmtId="0" fontId="6" fillId="0" borderId="0" xfId="1" applyFont="1" applyFill="1"/>
    <xf numFmtId="0" fontId="5" fillId="0" borderId="0" xfId="1" applyFill="1"/>
  </cellXfs>
  <cellStyles count="12">
    <cellStyle name="Comma" xfId="11" builtinId="3"/>
    <cellStyle name="Komma 2" xfId="2"/>
    <cellStyle name="Normal" xfId="0" builtinId="0"/>
    <cellStyle name="Normal 2" xfId="3"/>
    <cellStyle name="Normal 2 2" xfId="4"/>
    <cellStyle name="Normal 2 3" xfId="1"/>
    <cellStyle name="Normal 3" xfId="5"/>
    <cellStyle name="Percent" xfId="10" builtinId="5"/>
    <cellStyle name="Standard 2" xfId="6"/>
    <cellStyle name="Standard 3" xfId="7"/>
    <cellStyle name="Standard 4" xfId="8"/>
    <cellStyle name="Standard_Tabelle1" xfId="9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2B2B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46762589928057"/>
          <c:y val="4.9645390070921988E-2"/>
          <c:w val="0.7032374100719424"/>
          <c:h val="0.790780141843971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'C_P_I_E chart GWP TAR'!$D$59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'C_P_I_E chart GWP TAR'!$A$60:$A$63</c:f>
              <c:strCache>
                <c:ptCount val="4"/>
                <c:pt idx="0">
                  <c:v>Production</c:v>
                </c:pt>
                <c:pt idx="1">
                  <c:v>Imports</c:v>
                </c:pt>
                <c:pt idx="2">
                  <c:v>Exports</c:v>
                </c:pt>
                <c:pt idx="3">
                  <c:v>Consumption</c:v>
                </c:pt>
              </c:strCache>
            </c:strRef>
          </c:cat>
          <c:val>
            <c:numRef>
              <c:f>'C_P_I_E chart GWP TAR'!$D$60:$D$63</c:f>
              <c:numCache>
                <c:formatCode>#,##0.00</c:formatCode>
                <c:ptCount val="4"/>
                <c:pt idx="0">
                  <c:v>184.32</c:v>
                </c:pt>
                <c:pt idx="1">
                  <c:v>128.29</c:v>
                </c:pt>
                <c:pt idx="2">
                  <c:v>73.459999999999994</c:v>
                </c:pt>
                <c:pt idx="3">
                  <c:v>234.48482811276432</c:v>
                </c:pt>
              </c:numCache>
            </c:numRef>
          </c:val>
        </c:ser>
        <c:ser>
          <c:idx val="1"/>
          <c:order val="1"/>
          <c:tx>
            <c:strRef>
              <c:f>'C_P_I_E chart GWP TAR'!$E$59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'C_P_I_E chart GWP TAR'!$A$60:$A$63</c:f>
              <c:strCache>
                <c:ptCount val="4"/>
                <c:pt idx="0">
                  <c:v>Production</c:v>
                </c:pt>
                <c:pt idx="1">
                  <c:v>Imports</c:v>
                </c:pt>
                <c:pt idx="2">
                  <c:v>Exports</c:v>
                </c:pt>
                <c:pt idx="3">
                  <c:v>Consumption</c:v>
                </c:pt>
              </c:strCache>
            </c:strRef>
          </c:cat>
          <c:val>
            <c:numRef>
              <c:f>'C_P_I_E chart GWP TAR'!$E$60:$E$63</c:f>
              <c:numCache>
                <c:formatCode>#,##0.00</c:formatCode>
                <c:ptCount val="4"/>
                <c:pt idx="0">
                  <c:v>132.84</c:v>
                </c:pt>
                <c:pt idx="1">
                  <c:v>144.75</c:v>
                </c:pt>
                <c:pt idx="2">
                  <c:v>57.83</c:v>
                </c:pt>
                <c:pt idx="3">
                  <c:v>215.77905207517625</c:v>
                </c:pt>
              </c:numCache>
            </c:numRef>
          </c:val>
        </c:ser>
        <c:ser>
          <c:idx val="2"/>
          <c:order val="2"/>
          <c:tx>
            <c:strRef>
              <c:f>'C_P_I_E chart GWP TAR'!$F$59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'C_P_I_E chart GWP TAR'!$A$60:$A$63</c:f>
              <c:strCache>
                <c:ptCount val="4"/>
                <c:pt idx="0">
                  <c:v>Production</c:v>
                </c:pt>
                <c:pt idx="1">
                  <c:v>Imports</c:v>
                </c:pt>
                <c:pt idx="2">
                  <c:v>Exports</c:v>
                </c:pt>
                <c:pt idx="3">
                  <c:v>Consumption</c:v>
                </c:pt>
              </c:strCache>
            </c:strRef>
          </c:cat>
          <c:val>
            <c:numRef>
              <c:f>'C_P_I_E chart GWP TAR'!$F$60:$F$63</c:f>
              <c:numCache>
                <c:formatCode>#,##0.00</c:formatCode>
                <c:ptCount val="4"/>
                <c:pt idx="0">
                  <c:v>103.26538764999999</c:v>
                </c:pt>
                <c:pt idx="1">
                  <c:v>135.58963124660002</c:v>
                </c:pt>
                <c:pt idx="2">
                  <c:v>58.160711006200003</c:v>
                </c:pt>
                <c:pt idx="3">
                  <c:v>176.74008392798811</c:v>
                </c:pt>
              </c:numCache>
            </c:numRef>
          </c:val>
        </c:ser>
        <c:ser>
          <c:idx val="4"/>
          <c:order val="3"/>
          <c:tx>
            <c:strRef>
              <c:f>'C_P_I_E chart GWP TAR'!$G$59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'C_P_I_E chart GWP TAR'!$A$60:$A$63</c:f>
              <c:strCache>
                <c:ptCount val="4"/>
                <c:pt idx="0">
                  <c:v>Production</c:v>
                </c:pt>
                <c:pt idx="1">
                  <c:v>Imports</c:v>
                </c:pt>
                <c:pt idx="2">
                  <c:v>Exports</c:v>
                </c:pt>
                <c:pt idx="3">
                  <c:v>Consumption</c:v>
                </c:pt>
              </c:strCache>
            </c:strRef>
          </c:cat>
          <c:val>
            <c:numRef>
              <c:f>'C_P_I_E chart GWP TAR'!$G$60:$G$63</c:f>
              <c:numCache>
                <c:formatCode>#,##0.00</c:formatCode>
                <c:ptCount val="4"/>
                <c:pt idx="0">
                  <c:v>143.13</c:v>
                </c:pt>
                <c:pt idx="1">
                  <c:v>152.23000000000002</c:v>
                </c:pt>
                <c:pt idx="2">
                  <c:v>72.41</c:v>
                </c:pt>
                <c:pt idx="3">
                  <c:v>218.23000000000002</c:v>
                </c:pt>
              </c:numCache>
            </c:numRef>
          </c:val>
        </c:ser>
        <c:ser>
          <c:idx val="3"/>
          <c:order val="4"/>
          <c:tx>
            <c:strRef>
              <c:f>'C_P_I_E chart GWP TAR'!$H$59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'C_P_I_E chart GWP TAR'!$A$60:$A$63</c:f>
              <c:strCache>
                <c:ptCount val="4"/>
                <c:pt idx="0">
                  <c:v>Production</c:v>
                </c:pt>
                <c:pt idx="1">
                  <c:v>Imports</c:v>
                </c:pt>
                <c:pt idx="2">
                  <c:v>Exports</c:v>
                </c:pt>
                <c:pt idx="3">
                  <c:v>Consumption</c:v>
                </c:pt>
              </c:strCache>
            </c:strRef>
          </c:cat>
          <c:val>
            <c:numRef>
              <c:f>'C_P_I_E chart GWP TAR'!$H$60:$H$63</c:f>
              <c:numCache>
                <c:formatCode>#,##0.00</c:formatCode>
                <c:ptCount val="4"/>
                <c:pt idx="0">
                  <c:v>144.8387453</c:v>
                </c:pt>
                <c:pt idx="1">
                  <c:v>140.65985525310001</c:v>
                </c:pt>
                <c:pt idx="2">
                  <c:v>81.405457332499992</c:v>
                </c:pt>
                <c:pt idx="3">
                  <c:v>198.78075462519999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990272"/>
        <c:axId val="551038912"/>
      </c:barChart>
      <c:catAx>
        <c:axId val="527990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551038912"/>
        <c:crosses val="autoZero"/>
        <c:auto val="1"/>
        <c:lblAlgn val="ctr"/>
        <c:lblOffset val="100"/>
        <c:noMultiLvlLbl val="0"/>
      </c:catAx>
      <c:valAx>
        <c:axId val="5510389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Mt CO2-eq (GWP TAR)</a:t>
                </a:r>
              </a:p>
            </c:rich>
          </c:tx>
          <c:layout/>
          <c:overlay val="0"/>
        </c:title>
        <c:numFmt formatCode="#,##0;\-#,##0;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5279902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900" b="0" i="0" u="none" strike="noStrike" baseline="0">
          <a:solidFill>
            <a:srgbClr val="000000"/>
          </a:solidFill>
          <a:latin typeface="Arial" pitchFamily="34" charset="0"/>
          <a:ea typeface="Calibri"/>
          <a:cs typeface="Arial" pitchFamily="34" charset="0"/>
        </a:defRPr>
      </a:pPr>
      <a:endParaRPr lang="en-US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'C_P_I_E chart GWP TAR'!$B$50</c:f>
              <c:strCache>
                <c:ptCount val="1"/>
                <c:pt idx="0">
                  <c:v>HFCs</c:v>
                </c:pt>
              </c:strCache>
            </c:strRef>
          </c:tx>
          <c:invertIfNegative val="0"/>
          <c:cat>
            <c:strRef>
              <c:f>'C_P_I_E chart GWP TAR'!$C$49:$V$49</c:f>
              <c:strCache>
                <c:ptCount val="20"/>
                <c:pt idx="0">
                  <c:v>Production 2007</c:v>
                </c:pt>
                <c:pt idx="1">
                  <c:v>Production 2008</c:v>
                </c:pt>
                <c:pt idx="2">
                  <c:v>Production 2009</c:v>
                </c:pt>
                <c:pt idx="3">
                  <c:v>Production 2010</c:v>
                </c:pt>
                <c:pt idx="4">
                  <c:v>Production 2011</c:v>
                </c:pt>
                <c:pt idx="5">
                  <c:v>Imports 2007</c:v>
                </c:pt>
                <c:pt idx="6">
                  <c:v>Imports 2008</c:v>
                </c:pt>
                <c:pt idx="7">
                  <c:v>Imports 2009</c:v>
                </c:pt>
                <c:pt idx="8">
                  <c:v>Imports 2010</c:v>
                </c:pt>
                <c:pt idx="9">
                  <c:v>Imports 2011</c:v>
                </c:pt>
                <c:pt idx="10">
                  <c:v>Exports 2007</c:v>
                </c:pt>
                <c:pt idx="11">
                  <c:v>Exports 2008</c:v>
                </c:pt>
                <c:pt idx="12">
                  <c:v>Exports 2009</c:v>
                </c:pt>
                <c:pt idx="13">
                  <c:v>Exports 2010</c:v>
                </c:pt>
                <c:pt idx="14">
                  <c:v>Exports 2011</c:v>
                </c:pt>
                <c:pt idx="15">
                  <c:v>Consumption 2007</c:v>
                </c:pt>
                <c:pt idx="16">
                  <c:v>Consumption2008</c:v>
                </c:pt>
                <c:pt idx="17">
                  <c:v>Consumption 2009</c:v>
                </c:pt>
                <c:pt idx="18">
                  <c:v>Consumption 2010</c:v>
                </c:pt>
                <c:pt idx="19">
                  <c:v>Consumption 2011</c:v>
                </c:pt>
              </c:strCache>
            </c:strRef>
          </c:cat>
          <c:val>
            <c:numRef>
              <c:f>'C_P_I_E chart GWP TAR'!$C$50:$V$50</c:f>
              <c:numCache>
                <c:formatCode>General</c:formatCode>
                <c:ptCount val="20"/>
                <c:pt idx="0">
                  <c:v>89.38</c:v>
                </c:pt>
                <c:pt idx="1">
                  <c:v>50.45</c:v>
                </c:pt>
                <c:pt idx="2">
                  <c:v>24.19</c:v>
                </c:pt>
                <c:pt idx="3">
                  <c:v>27.92</c:v>
                </c:pt>
                <c:pt idx="4">
                  <c:v>80.5</c:v>
                </c:pt>
                <c:pt idx="5">
                  <c:v>103.32</c:v>
                </c:pt>
                <c:pt idx="6">
                  <c:v>124.33</c:v>
                </c:pt>
                <c:pt idx="7">
                  <c:v>110.61</c:v>
                </c:pt>
                <c:pt idx="8">
                  <c:v>127.49</c:v>
                </c:pt>
                <c:pt idx="9">
                  <c:v>125.32</c:v>
                </c:pt>
                <c:pt idx="10">
                  <c:v>36.22</c:v>
                </c:pt>
                <c:pt idx="11">
                  <c:v>31.03</c:v>
                </c:pt>
                <c:pt idx="12">
                  <c:v>23.89</c:v>
                </c:pt>
                <c:pt idx="13">
                  <c:v>103.32</c:v>
                </c:pt>
                <c:pt idx="14">
                  <c:v>37.049999999999997</c:v>
                </c:pt>
                <c:pt idx="15">
                  <c:v>151.81</c:v>
                </c:pt>
                <c:pt idx="16">
                  <c:v>143.71</c:v>
                </c:pt>
                <c:pt idx="17">
                  <c:v>106.96</c:v>
                </c:pt>
                <c:pt idx="18">
                  <c:v>120.49</c:v>
                </c:pt>
                <c:pt idx="19">
                  <c:v>163.47</c:v>
                </c:pt>
              </c:numCache>
            </c:numRef>
          </c:val>
        </c:ser>
        <c:ser>
          <c:idx val="1"/>
          <c:order val="1"/>
          <c:tx>
            <c:strRef>
              <c:f>'C_P_I_E chart GWP TAR'!$B$51</c:f>
              <c:strCache>
                <c:ptCount val="1"/>
                <c:pt idx="0">
                  <c:v>PFCs</c:v>
                </c:pt>
              </c:strCache>
            </c:strRef>
          </c:tx>
          <c:invertIfNegative val="0"/>
          <c:cat>
            <c:strRef>
              <c:f>'C_P_I_E chart GWP TAR'!$C$49:$V$49</c:f>
              <c:strCache>
                <c:ptCount val="20"/>
                <c:pt idx="0">
                  <c:v>Production 2007</c:v>
                </c:pt>
                <c:pt idx="1">
                  <c:v>Production 2008</c:v>
                </c:pt>
                <c:pt idx="2">
                  <c:v>Production 2009</c:v>
                </c:pt>
                <c:pt idx="3">
                  <c:v>Production 2010</c:v>
                </c:pt>
                <c:pt idx="4">
                  <c:v>Production 2011</c:v>
                </c:pt>
                <c:pt idx="5">
                  <c:v>Imports 2007</c:v>
                </c:pt>
                <c:pt idx="6">
                  <c:v>Imports 2008</c:v>
                </c:pt>
                <c:pt idx="7">
                  <c:v>Imports 2009</c:v>
                </c:pt>
                <c:pt idx="8">
                  <c:v>Imports 2010</c:v>
                </c:pt>
                <c:pt idx="9">
                  <c:v>Imports 2011</c:v>
                </c:pt>
                <c:pt idx="10">
                  <c:v>Exports 2007</c:v>
                </c:pt>
                <c:pt idx="11">
                  <c:v>Exports 2008</c:v>
                </c:pt>
                <c:pt idx="12">
                  <c:v>Exports 2009</c:v>
                </c:pt>
                <c:pt idx="13">
                  <c:v>Exports 2010</c:v>
                </c:pt>
                <c:pt idx="14">
                  <c:v>Exports 2011</c:v>
                </c:pt>
                <c:pt idx="15">
                  <c:v>Consumption 2007</c:v>
                </c:pt>
                <c:pt idx="16">
                  <c:v>Consumption2008</c:v>
                </c:pt>
                <c:pt idx="17">
                  <c:v>Consumption 2009</c:v>
                </c:pt>
                <c:pt idx="18">
                  <c:v>Consumption 2010</c:v>
                </c:pt>
                <c:pt idx="19">
                  <c:v>Consumption 2011</c:v>
                </c:pt>
              </c:strCache>
            </c:strRef>
          </c:cat>
          <c:val>
            <c:numRef>
              <c:f>'C_P_I_E chart GWP TAR'!$C$51:$V$51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1.34</c:v>
                </c:pt>
                <c:pt idx="5">
                  <c:v>2.44</c:v>
                </c:pt>
                <c:pt idx="6">
                  <c:v>2.78</c:v>
                </c:pt>
                <c:pt idx="7">
                  <c:v>1.26</c:v>
                </c:pt>
                <c:pt idx="8">
                  <c:v>2.13</c:v>
                </c:pt>
                <c:pt idx="9">
                  <c:v>2.3199999999999998</c:v>
                </c:pt>
                <c:pt idx="10">
                  <c:v>0</c:v>
                </c:pt>
                <c:pt idx="11">
                  <c:v>0.25</c:v>
                </c:pt>
                <c:pt idx="12">
                  <c:v>0</c:v>
                </c:pt>
                <c:pt idx="13">
                  <c:v>2.44</c:v>
                </c:pt>
                <c:pt idx="14">
                  <c:v>0.76</c:v>
                </c:pt>
                <c:pt idx="15">
                  <c:v>2.44</c:v>
                </c:pt>
                <c:pt idx="16">
                  <c:v>2.5299999999999998</c:v>
                </c:pt>
                <c:pt idx="17">
                  <c:v>1.26</c:v>
                </c:pt>
                <c:pt idx="18">
                  <c:v>2.0699999999999998</c:v>
                </c:pt>
                <c:pt idx="19">
                  <c:v>2.9</c:v>
                </c:pt>
              </c:numCache>
            </c:numRef>
          </c:val>
        </c:ser>
        <c:ser>
          <c:idx val="2"/>
          <c:order val="2"/>
          <c:tx>
            <c:strRef>
              <c:f>'C_P_I_E chart GWP TAR'!$B$52</c:f>
              <c:strCache>
                <c:ptCount val="1"/>
                <c:pt idx="0">
                  <c:v>SF6</c:v>
                </c:pt>
              </c:strCache>
            </c:strRef>
          </c:tx>
          <c:invertIfNegative val="0"/>
          <c:cat>
            <c:strRef>
              <c:f>'C_P_I_E chart GWP TAR'!$C$49:$V$49</c:f>
              <c:strCache>
                <c:ptCount val="20"/>
                <c:pt idx="0">
                  <c:v>Production 2007</c:v>
                </c:pt>
                <c:pt idx="1">
                  <c:v>Production 2008</c:v>
                </c:pt>
                <c:pt idx="2">
                  <c:v>Production 2009</c:v>
                </c:pt>
                <c:pt idx="3">
                  <c:v>Production 2010</c:v>
                </c:pt>
                <c:pt idx="4">
                  <c:v>Production 2011</c:v>
                </c:pt>
                <c:pt idx="5">
                  <c:v>Imports 2007</c:v>
                </c:pt>
                <c:pt idx="6">
                  <c:v>Imports 2008</c:v>
                </c:pt>
                <c:pt idx="7">
                  <c:v>Imports 2009</c:v>
                </c:pt>
                <c:pt idx="8">
                  <c:v>Imports 2010</c:v>
                </c:pt>
                <c:pt idx="9">
                  <c:v>Imports 2011</c:v>
                </c:pt>
                <c:pt idx="10">
                  <c:v>Exports 2007</c:v>
                </c:pt>
                <c:pt idx="11">
                  <c:v>Exports 2008</c:v>
                </c:pt>
                <c:pt idx="12">
                  <c:v>Exports 2009</c:v>
                </c:pt>
                <c:pt idx="13">
                  <c:v>Exports 2010</c:v>
                </c:pt>
                <c:pt idx="14">
                  <c:v>Exports 2011</c:v>
                </c:pt>
                <c:pt idx="15">
                  <c:v>Consumption 2007</c:v>
                </c:pt>
                <c:pt idx="16">
                  <c:v>Consumption2008</c:v>
                </c:pt>
                <c:pt idx="17">
                  <c:v>Consumption 2009</c:v>
                </c:pt>
                <c:pt idx="18">
                  <c:v>Consumption 2010</c:v>
                </c:pt>
                <c:pt idx="19">
                  <c:v>Consumption 2011</c:v>
                </c:pt>
              </c:strCache>
            </c:strRef>
          </c:cat>
          <c:val>
            <c:numRef>
              <c:f>'C_P_I_E chart GWP TAR'!$C$52:$V$52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63</c:v>
                </c:pt>
                <c:pt idx="5">
                  <c:v>17.79</c:v>
                </c:pt>
                <c:pt idx="6">
                  <c:v>15.35</c:v>
                </c:pt>
                <c:pt idx="7">
                  <c:v>14.89</c:v>
                </c:pt>
                <c:pt idx="8">
                  <c:v>11.98</c:v>
                </c:pt>
                <c:pt idx="9">
                  <c:v>13.02</c:v>
                </c:pt>
                <c:pt idx="10">
                  <c:v>36.82</c:v>
                </c:pt>
                <c:pt idx="11">
                  <c:v>26.3</c:v>
                </c:pt>
                <c:pt idx="12">
                  <c:v>31.59</c:v>
                </c:pt>
                <c:pt idx="13">
                  <c:v>17.79</c:v>
                </c:pt>
                <c:pt idx="14">
                  <c:v>43.59</c:v>
                </c:pt>
                <c:pt idx="15">
                  <c:v>-19.03</c:v>
                </c:pt>
                <c:pt idx="16">
                  <c:v>-10.95</c:v>
                </c:pt>
                <c:pt idx="17">
                  <c:v>-16.690000000000001</c:v>
                </c:pt>
                <c:pt idx="18">
                  <c:v>-25.68</c:v>
                </c:pt>
                <c:pt idx="19">
                  <c:v>32.409999999999997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1154176"/>
        <c:axId val="68237504"/>
      </c:barChart>
      <c:catAx>
        <c:axId val="551154176"/>
        <c:scaling>
          <c:orientation val="minMax"/>
        </c:scaling>
        <c:delete val="0"/>
        <c:axPos val="b"/>
        <c:majorTickMark val="out"/>
        <c:minorTickMark val="none"/>
        <c:tickLblPos val="nextTo"/>
        <c:crossAx val="68237504"/>
        <c:crosses val="autoZero"/>
        <c:auto val="1"/>
        <c:lblAlgn val="ctr"/>
        <c:lblOffset val="100"/>
        <c:noMultiLvlLbl val="0"/>
      </c:catAx>
      <c:valAx>
        <c:axId val="68237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511541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23479581825663"/>
          <c:y val="6.696435869964458E-2"/>
          <c:w val="0.57870457583516566"/>
          <c:h val="0.796875868525770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'Cons chart GWP FAR'!$B$3</c:f>
              <c:strCache>
                <c:ptCount val="1"/>
                <c:pt idx="0">
                  <c:v>HFCs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cat>
            <c:numRef>
              <c:f>'Cons chart GWP FAR'!$C$2:$G$2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'Cons chart GWP FAR'!$C$3:$G$3</c:f>
              <c:numCache>
                <c:formatCode>_-* #,##0.0_-;\-* #,##0.0_-;_-* "-"??_-;_-@_-</c:formatCode>
                <c:ptCount val="5"/>
                <c:pt idx="4">
                  <c:v>172.24783959042998</c:v>
                </c:pt>
              </c:numCache>
            </c:numRef>
          </c:val>
        </c:ser>
        <c:ser>
          <c:idx val="1"/>
          <c:order val="1"/>
          <c:tx>
            <c:strRef>
              <c:f>'Cons chart GWP FAR'!$B$4</c:f>
              <c:strCache>
                <c:ptCount val="1"/>
                <c:pt idx="0">
                  <c:v>PFCs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numRef>
              <c:f>'Cons chart GWP FAR'!$C$2:$G$2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'Cons chart GWP FAR'!$C$4:$G$4</c:f>
              <c:numCache>
                <c:formatCode>_-* #,##0.0_-;\-* #,##0.0_-;_-* "-"??_-;_-@_-</c:formatCode>
                <c:ptCount val="5"/>
                <c:pt idx="4">
                  <c:v>3.0750261430000001</c:v>
                </c:pt>
              </c:numCache>
            </c:numRef>
          </c:val>
        </c:ser>
        <c:ser>
          <c:idx val="2"/>
          <c:order val="2"/>
          <c:tx>
            <c:strRef>
              <c:f>'Cons chart GWP FAR'!$B$5</c:f>
              <c:strCache>
                <c:ptCount val="1"/>
                <c:pt idx="0">
                  <c:v>SF6</c:v>
                </c:pt>
              </c:strCache>
            </c:strRef>
          </c:tx>
          <c:spPr>
            <a:solidFill>
              <a:srgbClr val="CCFFFF"/>
            </a:solidFill>
            <a:ln w="25400">
              <a:noFill/>
            </a:ln>
          </c:spPr>
          <c:invertIfNegative val="0"/>
          <c:cat>
            <c:numRef>
              <c:f>'Cons chart GWP FAR'!$C$2:$G$2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'Cons chart GWP FAR'!$C$5:$G$5</c:f>
              <c:numCache>
                <c:formatCode>_-* #,##0.0_-;\-* #,##0.0_-;_-* "-"??_-;_-@_-</c:formatCode>
                <c:ptCount val="5"/>
                <c:pt idx="4">
                  <c:v>33.285355200000026</c:v>
                </c:pt>
              </c:numCache>
            </c:numRef>
          </c:val>
        </c:ser>
        <c:ser>
          <c:idx val="3"/>
          <c:order val="3"/>
          <c:tx>
            <c:strRef>
              <c:f>'Cons chart GWP FAR'!$B$6</c:f>
              <c:strCache>
                <c:ptCount val="1"/>
                <c:pt idx="0">
                  <c:v>F-Gases, unspecified</c:v>
                </c:pt>
              </c:strCache>
            </c:strRef>
          </c:tx>
          <c:spPr>
            <a:solidFill>
              <a:srgbClr val="B2B2B2"/>
            </a:solidFill>
            <a:ln w="25400">
              <a:noFill/>
            </a:ln>
          </c:spPr>
          <c:invertIfNegative val="0"/>
          <c:cat>
            <c:numRef>
              <c:f>'Cons chart GWP FAR'!$C$2:$G$2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'Cons chart GWP FAR'!$C$6:$G$6</c:f>
              <c:numCache>
                <c:formatCode>_-* #,##0.0_-;\-* #,##0.0_-;_-* "-"??_-;_-@_-</c:formatCode>
                <c:ptCount val="5"/>
                <c:pt idx="0">
                  <c:v>247.61639924495358</c:v>
                </c:pt>
                <c:pt idx="1">
                  <c:v>227.01562027181842</c:v>
                </c:pt>
                <c:pt idx="2">
                  <c:v>185.40856763884824</c:v>
                </c:pt>
                <c:pt idx="3">
                  <c:v>229.25860591315728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527593472"/>
        <c:axId val="520843776"/>
      </c:barChart>
      <c:lineChart>
        <c:grouping val="standard"/>
        <c:varyColors val="0"/>
        <c:ser>
          <c:idx val="5"/>
          <c:order val="4"/>
          <c:tx>
            <c:strRef>
              <c:f>'Cons chart GWP FAR'!$B$7</c:f>
              <c:strCache>
                <c:ptCount val="1"/>
                <c:pt idx="0">
                  <c:v>Total Calculated Consumption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marker>
            <c:symbol val="none"/>
          </c:marker>
          <c:cat>
            <c:numRef>
              <c:f>'Cons chart GWP FAR'!$C$2:$G$2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'Cons chart GWP FAR'!$C$7:$G$7</c:f>
              <c:numCache>
                <c:formatCode>_-* #,##0.0_-;\-* #,##0.0_-;_-* "-"??_-;_-@_-</c:formatCode>
                <c:ptCount val="5"/>
                <c:pt idx="0">
                  <c:v>247.61639924495358</c:v>
                </c:pt>
                <c:pt idx="1">
                  <c:v>227.01562027181842</c:v>
                </c:pt>
                <c:pt idx="2">
                  <c:v>185.40856763884824</c:v>
                </c:pt>
                <c:pt idx="3">
                  <c:v>229.25860591315728</c:v>
                </c:pt>
                <c:pt idx="4">
                  <c:v>208.60822093343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593472"/>
        <c:axId val="520843776"/>
      </c:lineChart>
      <c:catAx>
        <c:axId val="52759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ambria"/>
                <a:ea typeface="Cambria"/>
                <a:cs typeface="Cambria"/>
              </a:defRPr>
            </a:pPr>
            <a:endParaRPr lang="en-US"/>
          </a:p>
        </c:txPr>
        <c:crossAx val="520843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084377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mbria"/>
                    <a:ea typeface="Cambria"/>
                    <a:cs typeface="Cambria"/>
                  </a:defRPr>
                </a:pPr>
                <a:r>
                  <a:rPr lang="en-GB"/>
                  <a:t>EU27</a:t>
                </a:r>
                <a:r>
                  <a:rPr lang="en-GB" baseline="0"/>
                  <a:t> </a:t>
                </a:r>
                <a:r>
                  <a:rPr lang="en-GB"/>
                  <a:t>Consumption in Million GWP FAR tonnes</a:t>
                </a:r>
              </a:p>
            </c:rich>
          </c:tx>
          <c:layout>
            <c:manualLayout>
              <c:xMode val="edge"/>
              <c:yMode val="edge"/>
              <c:x val="2.0017036871186326E-2"/>
              <c:y val="0.1446048985968648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mbria"/>
                <a:ea typeface="Cambria"/>
                <a:cs typeface="Cambria"/>
              </a:defRPr>
            </a:pPr>
            <a:endParaRPr lang="en-US"/>
          </a:p>
        </c:txPr>
        <c:crossAx val="5275934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611218965163816"/>
          <c:y val="2.4553571428571428E-2"/>
          <c:w val="0.26388781034836184"/>
          <c:h val="0.8413456130483689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mbria"/>
              <a:ea typeface="Cambria"/>
              <a:cs typeface="Cambri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23479581825663"/>
          <c:y val="6.696435869964458E-2"/>
          <c:w val="0.57870457583516566"/>
          <c:h val="0.796875868525770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'Cons chart GWP TAR'!$B$3</c:f>
              <c:strCache>
                <c:ptCount val="1"/>
                <c:pt idx="0">
                  <c:v>HFCs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cat>
            <c:numRef>
              <c:f>'Cons chart GWP TAR'!$C$2:$G$2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'Cons chart GWP TAR'!$C$3:$G$3</c:f>
              <c:numCache>
                <c:formatCode>_-* #,##0.0_-;\-* #,##0.0_-;_-* "-"??_-;_-@_-</c:formatCode>
                <c:ptCount val="5"/>
                <c:pt idx="4">
                  <c:v>163.47328203719997</c:v>
                </c:pt>
              </c:numCache>
            </c:numRef>
          </c:val>
        </c:ser>
        <c:ser>
          <c:idx val="1"/>
          <c:order val="1"/>
          <c:tx>
            <c:strRef>
              <c:f>'Cons chart GWP TAR'!$B$4</c:f>
              <c:strCache>
                <c:ptCount val="1"/>
                <c:pt idx="0">
                  <c:v>PFCs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numRef>
              <c:f>'Cons chart GWP TAR'!$C$2:$G$2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'Cons chart GWP TAR'!$C$4:$G$4</c:f>
              <c:numCache>
                <c:formatCode>_-* #,##0.0_-;\-* #,##0.0_-;_-* "-"??_-;_-@_-</c:formatCode>
                <c:ptCount val="5"/>
                <c:pt idx="4">
                  <c:v>2.898047788</c:v>
                </c:pt>
              </c:numCache>
            </c:numRef>
          </c:val>
        </c:ser>
        <c:ser>
          <c:idx val="2"/>
          <c:order val="2"/>
          <c:tx>
            <c:strRef>
              <c:f>'Cons chart GWP TAR'!$B$5</c:f>
              <c:strCache>
                <c:ptCount val="1"/>
                <c:pt idx="0">
                  <c:v>SF6</c:v>
                </c:pt>
              </c:strCache>
            </c:strRef>
          </c:tx>
          <c:spPr>
            <a:solidFill>
              <a:srgbClr val="CCFFFF"/>
            </a:solidFill>
            <a:ln w="25400">
              <a:noFill/>
            </a:ln>
          </c:spPr>
          <c:invertIfNegative val="0"/>
          <c:cat>
            <c:numRef>
              <c:f>'Cons chart GWP TAR'!$C$2:$G$2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'Cons chart GWP TAR'!$C$5:$G$5</c:f>
              <c:numCache>
                <c:formatCode>_-* #,##0.0_-;\-* #,##0.0_-;_-* "-"??_-;_-@_-</c:formatCode>
                <c:ptCount val="5"/>
                <c:pt idx="4">
                  <c:v>32.409424800000018</c:v>
                </c:pt>
              </c:numCache>
            </c:numRef>
          </c:val>
        </c:ser>
        <c:ser>
          <c:idx val="3"/>
          <c:order val="3"/>
          <c:tx>
            <c:strRef>
              <c:f>'Cons chart GWP TAR'!$B$6</c:f>
              <c:strCache>
                <c:ptCount val="1"/>
                <c:pt idx="0">
                  <c:v>F-Gases, unspecified</c:v>
                </c:pt>
              </c:strCache>
            </c:strRef>
          </c:tx>
          <c:spPr>
            <a:solidFill>
              <a:srgbClr val="B2B2B2"/>
            </a:solidFill>
            <a:ln w="25400">
              <a:noFill/>
            </a:ln>
          </c:spPr>
          <c:invertIfNegative val="0"/>
          <c:cat>
            <c:numRef>
              <c:f>'Cons chart GWP TAR'!$C$2:$G$2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'Cons chart GWP TAR'!$C$6:$G$6</c:f>
              <c:numCache>
                <c:formatCode>_-* #,##0.0_-;\-* #,##0.0_-;_-* "-"??_-;_-@_-</c:formatCode>
                <c:ptCount val="5"/>
                <c:pt idx="0">
                  <c:v>234.48482811276432</c:v>
                </c:pt>
                <c:pt idx="1">
                  <c:v>215.77905207517625</c:v>
                </c:pt>
                <c:pt idx="2">
                  <c:v>176.74008392798811</c:v>
                </c:pt>
                <c:pt idx="3">
                  <c:v>218.23000000000002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527597056"/>
        <c:axId val="520846656"/>
      </c:barChart>
      <c:lineChart>
        <c:grouping val="standard"/>
        <c:varyColors val="0"/>
        <c:ser>
          <c:idx val="5"/>
          <c:order val="4"/>
          <c:tx>
            <c:strRef>
              <c:f>'Cons chart GWP TAR'!$B$7</c:f>
              <c:strCache>
                <c:ptCount val="1"/>
                <c:pt idx="0">
                  <c:v>Total Calculated Consumption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marker>
            <c:symbol val="none"/>
          </c:marker>
          <c:cat>
            <c:numRef>
              <c:f>'Cons chart GWP TAR'!$C$2:$G$2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'Cons chart GWP TAR'!$C$7:$G$7</c:f>
              <c:numCache>
                <c:formatCode>_-* #,##0.0_-;\-* #,##0.0_-;_-* "-"??_-;_-@_-</c:formatCode>
                <c:ptCount val="5"/>
                <c:pt idx="0">
                  <c:v>234.48482811276432</c:v>
                </c:pt>
                <c:pt idx="1">
                  <c:v>215.77905207517625</c:v>
                </c:pt>
                <c:pt idx="2">
                  <c:v>176.74008392798811</c:v>
                </c:pt>
                <c:pt idx="3">
                  <c:v>218.23000000000002</c:v>
                </c:pt>
                <c:pt idx="4">
                  <c:v>198.78075462519999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597056"/>
        <c:axId val="520846656"/>
      </c:lineChart>
      <c:catAx>
        <c:axId val="52759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ambria"/>
                <a:ea typeface="Cambria"/>
                <a:cs typeface="Cambria"/>
              </a:defRPr>
            </a:pPr>
            <a:endParaRPr lang="en-US"/>
          </a:p>
        </c:txPr>
        <c:crossAx val="520846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08466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mbria"/>
                    <a:ea typeface="Cambria"/>
                    <a:cs typeface="Cambria"/>
                  </a:defRPr>
                </a:pPr>
                <a:r>
                  <a:rPr lang="en-GB"/>
                  <a:t>EU27</a:t>
                </a:r>
                <a:r>
                  <a:rPr lang="en-GB" baseline="0"/>
                  <a:t> </a:t>
                </a:r>
                <a:r>
                  <a:rPr lang="en-GB"/>
                  <a:t>Consumption in Million GWP TAR tonnes</a:t>
                </a:r>
              </a:p>
            </c:rich>
          </c:tx>
          <c:layout>
            <c:manualLayout>
              <c:xMode val="edge"/>
              <c:yMode val="edge"/>
              <c:x val="2.0017036871186326E-2"/>
              <c:y val="0.1446048985968648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mbria"/>
                <a:ea typeface="Cambria"/>
                <a:cs typeface="Cambria"/>
              </a:defRPr>
            </a:pPr>
            <a:endParaRPr lang="en-US"/>
          </a:p>
        </c:txPr>
        <c:crossAx val="5275970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611218965163816"/>
          <c:y val="2.4553571428571428E-2"/>
          <c:w val="0.26388781034836184"/>
          <c:h val="0.8413456130483689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mbria"/>
              <a:ea typeface="Cambria"/>
              <a:cs typeface="Cambri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23479581825663"/>
          <c:y val="6.696435869964458E-2"/>
          <c:w val="0.57870457583516566"/>
          <c:h val="0.796875868525770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'Cons chart tonnes'!$B$3</c:f>
              <c:strCache>
                <c:ptCount val="1"/>
                <c:pt idx="0">
                  <c:v>HFCs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cat>
            <c:numRef>
              <c:f>'Cons chart tonnes'!$C$2:$G$2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'Cons chart tonnes'!$C$3:$G$3</c:f>
              <c:numCache>
                <c:formatCode>_-* #,##0_-;\-* #,##0_-;_-* "-"??_-;_-@_-</c:formatCode>
                <c:ptCount val="5"/>
                <c:pt idx="4">
                  <c:v>83601.249941999995</c:v>
                </c:pt>
              </c:numCache>
            </c:numRef>
          </c:val>
        </c:ser>
        <c:ser>
          <c:idx val="1"/>
          <c:order val="1"/>
          <c:tx>
            <c:strRef>
              <c:f>'Cons chart tonnes'!$B$4</c:f>
              <c:strCache>
                <c:ptCount val="1"/>
                <c:pt idx="0">
                  <c:v>PFCs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numRef>
              <c:f>'Cons chart tonnes'!$C$2:$G$2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'Cons chart tonnes'!$C$4:$G$4</c:f>
              <c:numCache>
                <c:formatCode>_-* #,##0_-;\-* #,##0_-;_-* "-"??_-;_-@_-</c:formatCode>
                <c:ptCount val="5"/>
                <c:pt idx="4">
                  <c:v>300.42162000000002</c:v>
                </c:pt>
              </c:numCache>
            </c:numRef>
          </c:val>
        </c:ser>
        <c:ser>
          <c:idx val="2"/>
          <c:order val="2"/>
          <c:tx>
            <c:strRef>
              <c:f>'Cons chart tonnes'!$B$5</c:f>
              <c:strCache>
                <c:ptCount val="1"/>
                <c:pt idx="0">
                  <c:v>SF6</c:v>
                </c:pt>
              </c:strCache>
            </c:strRef>
          </c:tx>
          <c:spPr>
            <a:solidFill>
              <a:srgbClr val="CCFFFF"/>
            </a:solidFill>
            <a:ln w="25400">
              <a:noFill/>
            </a:ln>
          </c:spPr>
          <c:invertIfNegative val="0"/>
          <c:cat>
            <c:numRef>
              <c:f>'Cons chart tonnes'!$C$2:$G$2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'Cons chart tonnes'!$C$5:$G$5</c:f>
              <c:numCache>
                <c:formatCode>_-* #,##0_-;\-* #,##0_-;_-* "-"??_-;_-@_-</c:formatCode>
                <c:ptCount val="5"/>
                <c:pt idx="4">
                  <c:v>1459.8840000000005</c:v>
                </c:pt>
              </c:numCache>
            </c:numRef>
          </c:val>
        </c:ser>
        <c:ser>
          <c:idx val="3"/>
          <c:order val="3"/>
          <c:tx>
            <c:strRef>
              <c:f>'Cons chart tonnes'!$B$6</c:f>
              <c:strCache>
                <c:ptCount val="1"/>
                <c:pt idx="0">
                  <c:v>F-Gases, unspecified</c:v>
                </c:pt>
              </c:strCache>
            </c:strRef>
          </c:tx>
          <c:spPr>
            <a:solidFill>
              <a:srgbClr val="B2B2B2"/>
            </a:solidFill>
            <a:ln w="25400">
              <a:noFill/>
            </a:ln>
          </c:spPr>
          <c:invertIfNegative val="0"/>
          <c:cat>
            <c:numRef>
              <c:f>'Cons chart tonnes'!$C$2:$G$2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'Cons chart tonnes'!$C$6:$G$6</c:f>
              <c:numCache>
                <c:formatCode>_-* #,##0_-;\-* #,##0_-;_-* "-"??_-;_-@_-</c:formatCode>
                <c:ptCount val="5"/>
                <c:pt idx="0">
                  <c:v>93210.33</c:v>
                </c:pt>
                <c:pt idx="1">
                  <c:v>90288.639999999999</c:v>
                </c:pt>
                <c:pt idx="2">
                  <c:v>75520.916999999972</c:v>
                </c:pt>
                <c:pt idx="3">
                  <c:v>92785.069999999992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527988224"/>
        <c:axId val="551036608"/>
      </c:barChart>
      <c:lineChart>
        <c:grouping val="standard"/>
        <c:varyColors val="0"/>
        <c:ser>
          <c:idx val="5"/>
          <c:order val="4"/>
          <c:tx>
            <c:strRef>
              <c:f>'Cons chart tonnes'!$B$7</c:f>
              <c:strCache>
                <c:ptCount val="1"/>
                <c:pt idx="0">
                  <c:v>Total Calculated Consumption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marker>
            <c:symbol val="none"/>
          </c:marker>
          <c:cat>
            <c:numRef>
              <c:f>'Cons chart tonnes'!$C$2:$G$2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'Cons chart tonnes'!$C$7:$G$7</c:f>
              <c:numCache>
                <c:formatCode>_-* #,##0_-;\-* #,##0_-;_-* "-"??_-;_-@_-</c:formatCode>
                <c:ptCount val="5"/>
                <c:pt idx="0">
                  <c:v>93210.33</c:v>
                </c:pt>
                <c:pt idx="1">
                  <c:v>90288.639999999999</c:v>
                </c:pt>
                <c:pt idx="2">
                  <c:v>75520.916999999972</c:v>
                </c:pt>
                <c:pt idx="3">
                  <c:v>92785.069999999992</c:v>
                </c:pt>
                <c:pt idx="4">
                  <c:v>85361.555561999994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988224"/>
        <c:axId val="551036608"/>
      </c:lineChart>
      <c:catAx>
        <c:axId val="52798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ambria"/>
                <a:ea typeface="Cambria"/>
                <a:cs typeface="Cambria"/>
              </a:defRPr>
            </a:pPr>
            <a:endParaRPr lang="en-US"/>
          </a:p>
        </c:txPr>
        <c:crossAx val="55103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5103660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mbria"/>
                    <a:ea typeface="Cambria"/>
                    <a:cs typeface="Cambria"/>
                  </a:defRPr>
                </a:pPr>
                <a:r>
                  <a:rPr lang="en-GB"/>
                  <a:t>EU27</a:t>
                </a:r>
                <a:r>
                  <a:rPr lang="en-GB" baseline="0"/>
                  <a:t> </a:t>
                </a:r>
                <a:r>
                  <a:rPr lang="en-GB"/>
                  <a:t>Consumption in metric  tonnes</a:t>
                </a:r>
              </a:p>
            </c:rich>
          </c:tx>
          <c:layout>
            <c:manualLayout>
              <c:xMode val="edge"/>
              <c:yMode val="edge"/>
              <c:x val="2.0017036871186326E-2"/>
              <c:y val="0.1446048985968648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mbria"/>
                <a:ea typeface="Cambria"/>
                <a:cs typeface="Cambria"/>
              </a:defRPr>
            </a:pPr>
            <a:endParaRPr lang="en-US"/>
          </a:p>
        </c:txPr>
        <c:crossAx val="5279882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611218965163816"/>
          <c:y val="2.4553571428571428E-2"/>
          <c:w val="0.26388781034836184"/>
          <c:h val="0.8413456130483689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mbria"/>
              <a:ea typeface="Cambria"/>
              <a:cs typeface="Cambri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37798</xdr:rowOff>
    </xdr:from>
    <xdr:to>
      <xdr:col>5</xdr:col>
      <xdr:colOff>465364</xdr:colOff>
      <xdr:row>77</xdr:row>
      <xdr:rowOff>78619</xdr:rowOff>
    </xdr:to>
    <xdr:graphicFrame macro="">
      <xdr:nvGraphicFramePr>
        <xdr:cNvPr id="2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707571</xdr:colOff>
      <xdr:row>3</xdr:row>
      <xdr:rowOff>97972</xdr:rowOff>
    </xdr:from>
    <xdr:to>
      <xdr:col>12</xdr:col>
      <xdr:colOff>449036</xdr:colOff>
      <xdr:row>45</xdr:row>
      <xdr:rowOff>122464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114300</xdr:rowOff>
    </xdr:from>
    <xdr:to>
      <xdr:col>9</xdr:col>
      <xdr:colOff>130629</xdr:colOff>
      <xdr:row>33</xdr:row>
      <xdr:rowOff>35379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114300</xdr:rowOff>
    </xdr:from>
    <xdr:to>
      <xdr:col>9</xdr:col>
      <xdr:colOff>130629</xdr:colOff>
      <xdr:row>33</xdr:row>
      <xdr:rowOff>35379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114300</xdr:rowOff>
    </xdr:from>
    <xdr:to>
      <xdr:col>9</xdr:col>
      <xdr:colOff>130629</xdr:colOff>
      <xdr:row>33</xdr:row>
      <xdr:rowOff>35379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2data\ccbr$\F-gases\ETC%20ACM%20working%20area\2012%20-%20reporting%20year%202011\04_Database\04_F_Gas_DB_TAR_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istics"/>
      <sheetName val="Pivot_App"/>
      <sheetName val="Charts2_per_group"/>
      <sheetName val="Charts"/>
      <sheetName val="Pivot_Main"/>
      <sheetName val="Pivot_Sales_App_Saldo"/>
      <sheetName val="Pivot_Other"/>
      <sheetName val="Pivot_Production"/>
      <sheetName val="Database"/>
      <sheetName val="GWP_list"/>
      <sheetName val="GWP_calc"/>
      <sheetName val="Files"/>
      <sheetName val="LinkList"/>
      <sheetName val="GasLink"/>
      <sheetName val="Tabel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A4" t="str">
            <v>HFC-125</v>
          </cell>
          <cell r="B4">
            <v>3400</v>
          </cell>
        </row>
        <row r="5">
          <cell r="A5" t="str">
            <v>HFC-134</v>
          </cell>
          <cell r="B5">
            <v>1100</v>
          </cell>
        </row>
        <row r="6">
          <cell r="A6" t="str">
            <v>HFC-134a</v>
          </cell>
          <cell r="B6">
            <v>1300</v>
          </cell>
        </row>
        <row r="7">
          <cell r="A7" t="str">
            <v>HFC-143</v>
          </cell>
          <cell r="B7">
            <v>330</v>
          </cell>
        </row>
        <row r="8">
          <cell r="A8" t="str">
            <v>HFC-143a</v>
          </cell>
          <cell r="B8">
            <v>4300</v>
          </cell>
        </row>
        <row r="9">
          <cell r="A9" t="str">
            <v>HFC-152a</v>
          </cell>
          <cell r="B9">
            <v>120</v>
          </cell>
        </row>
        <row r="10">
          <cell r="A10" t="str">
            <v>HFC-227ea</v>
          </cell>
          <cell r="B10">
            <v>3500</v>
          </cell>
        </row>
        <row r="11">
          <cell r="A11" t="str">
            <v>HFC-23</v>
          </cell>
          <cell r="B11">
            <v>12000</v>
          </cell>
        </row>
        <row r="12">
          <cell r="A12" t="str">
            <v>HFC-236fa</v>
          </cell>
          <cell r="B12">
            <v>9400</v>
          </cell>
        </row>
        <row r="13">
          <cell r="A13" t="str">
            <v>HFC-245fa</v>
          </cell>
          <cell r="B13">
            <v>950</v>
          </cell>
        </row>
        <row r="14">
          <cell r="A14" t="str">
            <v>HFC-32</v>
          </cell>
          <cell r="B14">
            <v>550</v>
          </cell>
        </row>
        <row r="15">
          <cell r="A15" t="str">
            <v>HFC-365mfc</v>
          </cell>
          <cell r="B15">
            <v>890</v>
          </cell>
        </row>
        <row r="16">
          <cell r="A16" t="str">
            <v>HFC-41</v>
          </cell>
          <cell r="B16">
            <v>97</v>
          </cell>
        </row>
        <row r="17">
          <cell r="A17" t="str">
            <v>HFC-43-10mee</v>
          </cell>
          <cell r="B17">
            <v>1500</v>
          </cell>
        </row>
        <row r="18">
          <cell r="A18" t="str">
            <v>Perfluorocyclobutane</v>
          </cell>
          <cell r="B18">
            <v>10000</v>
          </cell>
        </row>
        <row r="19">
          <cell r="A19" t="str">
            <v>Perfluoroethane</v>
          </cell>
          <cell r="B19">
            <v>11900</v>
          </cell>
        </row>
        <row r="20">
          <cell r="A20" t="str">
            <v>Perfluorohexane</v>
          </cell>
          <cell r="B20">
            <v>9000</v>
          </cell>
        </row>
        <row r="21">
          <cell r="A21" t="str">
            <v>Perfluoromethane</v>
          </cell>
          <cell r="B21">
            <v>5700</v>
          </cell>
        </row>
        <row r="22">
          <cell r="A22" t="str">
            <v>Perfluoropropane</v>
          </cell>
          <cell r="B22">
            <v>8600</v>
          </cell>
        </row>
        <row r="23">
          <cell r="A23" t="str">
            <v>Perfluorobutane</v>
          </cell>
          <cell r="B23">
            <v>8600</v>
          </cell>
        </row>
        <row r="24">
          <cell r="A24" t="str">
            <v>SF6</v>
          </cell>
          <cell r="B24">
            <v>22200</v>
          </cell>
        </row>
        <row r="25">
          <cell r="A25" t="str">
            <v>PFC-218</v>
          </cell>
          <cell r="B25">
            <v>8600</v>
          </cell>
        </row>
        <row r="26">
          <cell r="A26" t="str">
            <v>R-22</v>
          </cell>
          <cell r="B26">
            <v>1810</v>
          </cell>
        </row>
        <row r="27">
          <cell r="A27" t="str">
            <v>R-124</v>
          </cell>
          <cell r="B27">
            <v>609</v>
          </cell>
        </row>
        <row r="28">
          <cell r="A28" t="str">
            <v>R-142b</v>
          </cell>
          <cell r="B28">
            <v>2310</v>
          </cell>
        </row>
        <row r="29">
          <cell r="A29" t="str">
            <v>R-290</v>
          </cell>
          <cell r="B29">
            <v>20</v>
          </cell>
        </row>
        <row r="30">
          <cell r="A30" t="str">
            <v>R-403b</v>
          </cell>
          <cell r="B30">
            <v>4368.6000000000004</v>
          </cell>
        </row>
        <row r="31">
          <cell r="A31" t="str">
            <v>R-404a</v>
          </cell>
          <cell r="B31">
            <v>3784</v>
          </cell>
        </row>
        <row r="32">
          <cell r="A32" t="str">
            <v>R-407c</v>
          </cell>
          <cell r="B32">
            <v>1652.5</v>
          </cell>
        </row>
        <row r="33">
          <cell r="A33" t="str">
            <v>R-407d</v>
          </cell>
          <cell r="B33">
            <v>1502.5</v>
          </cell>
        </row>
        <row r="34">
          <cell r="A34" t="str">
            <v>R-408</v>
          </cell>
          <cell r="B34">
            <v>3066.7</v>
          </cell>
        </row>
        <row r="35">
          <cell r="A35" t="str">
            <v>R-408a</v>
          </cell>
          <cell r="B35">
            <v>3066.7</v>
          </cell>
        </row>
        <row r="36">
          <cell r="A36" t="str">
            <v>R-409</v>
          </cell>
          <cell r="B36">
            <v>1584.75</v>
          </cell>
        </row>
        <row r="37">
          <cell r="A37" t="str">
            <v>R-410a</v>
          </cell>
          <cell r="B37">
            <v>1975</v>
          </cell>
        </row>
        <row r="38">
          <cell r="A38" t="str">
            <v>R-413A</v>
          </cell>
          <cell r="B38">
            <v>1918.6</v>
          </cell>
        </row>
        <row r="39">
          <cell r="A39" t="str">
            <v>R-413b</v>
          </cell>
          <cell r="B39">
            <v>1918.6</v>
          </cell>
        </row>
        <row r="40">
          <cell r="A40" t="str">
            <v>R-417A</v>
          </cell>
          <cell r="B40">
            <v>2235.08</v>
          </cell>
        </row>
        <row r="41">
          <cell r="A41" t="str">
            <v>R-422A</v>
          </cell>
          <cell r="B41">
            <v>3043.58</v>
          </cell>
        </row>
        <row r="42">
          <cell r="A42" t="str">
            <v>R-422B</v>
          </cell>
          <cell r="B42">
            <v>2416.6</v>
          </cell>
        </row>
        <row r="43">
          <cell r="A43" t="str">
            <v>R-422D</v>
          </cell>
          <cell r="B43">
            <v>2623.58</v>
          </cell>
        </row>
        <row r="44">
          <cell r="A44" t="str">
            <v>R-424A</v>
          </cell>
          <cell r="B44">
            <v>2328.4999999999995</v>
          </cell>
        </row>
        <row r="45">
          <cell r="A45" t="str">
            <v>R-426A</v>
          </cell>
          <cell r="B45">
            <v>1382.78</v>
          </cell>
        </row>
        <row r="46">
          <cell r="A46" t="str">
            <v>R-427A</v>
          </cell>
          <cell r="B46">
            <v>2012.5</v>
          </cell>
        </row>
        <row r="47">
          <cell r="A47" t="str">
            <v>R-428A</v>
          </cell>
          <cell r="B47">
            <v>3495.5</v>
          </cell>
        </row>
        <row r="48">
          <cell r="A48" t="str">
            <v>R-434A</v>
          </cell>
          <cell r="B48">
            <v>3131.36</v>
          </cell>
        </row>
        <row r="49">
          <cell r="A49" t="str">
            <v>R-437A</v>
          </cell>
          <cell r="B49">
            <v>1683.8999999999999</v>
          </cell>
        </row>
        <row r="50">
          <cell r="A50" t="str">
            <v>R-507</v>
          </cell>
          <cell r="B50">
            <v>3850</v>
          </cell>
        </row>
        <row r="51">
          <cell r="A51" t="str">
            <v>R-508B</v>
          </cell>
          <cell r="B51">
            <v>11946</v>
          </cell>
        </row>
        <row r="52">
          <cell r="A52" t="str">
            <v>HC-600</v>
          </cell>
          <cell r="B52">
            <v>20</v>
          </cell>
        </row>
        <row r="53">
          <cell r="A53" t="str">
            <v>HC-600a</v>
          </cell>
          <cell r="B53">
            <v>20</v>
          </cell>
        </row>
        <row r="54">
          <cell r="A54" t="str">
            <v>HC-601a</v>
          </cell>
          <cell r="B54">
            <v>20</v>
          </cell>
        </row>
        <row r="55">
          <cell r="A55" t="str">
            <v>427A</v>
          </cell>
          <cell r="B55" t="str">
            <v>NULL</v>
          </cell>
        </row>
        <row r="56">
          <cell r="A56" t="str">
            <v>HFC-404A</v>
          </cell>
          <cell r="B56" t="str">
            <v>NULL</v>
          </cell>
        </row>
        <row r="57">
          <cell r="A57" t="str">
            <v>HFC-407C</v>
          </cell>
          <cell r="B57" t="str">
            <v>NULL</v>
          </cell>
        </row>
        <row r="58">
          <cell r="A58" t="str">
            <v>HFC-410A</v>
          </cell>
          <cell r="B58" t="str">
            <v>NULL</v>
          </cell>
        </row>
        <row r="59">
          <cell r="A59" t="str">
            <v>HFC-507</v>
          </cell>
          <cell r="B59" t="str">
            <v>NULL</v>
          </cell>
        </row>
        <row r="60">
          <cell r="A60" t="str">
            <v>Genesolv HFC 245 fa</v>
          </cell>
          <cell r="B60" t="str">
            <v>NULL</v>
          </cell>
        </row>
        <row r="61">
          <cell r="A61" t="str">
            <v>Hexafluoro-butadiene</v>
          </cell>
          <cell r="B61">
            <v>20</v>
          </cell>
        </row>
        <row r="62">
          <cell r="A62" t="str">
            <v>HFC+HCFC+CFC</v>
          </cell>
          <cell r="B62" t="str">
            <v>NULL</v>
          </cell>
        </row>
        <row r="63">
          <cell r="A63" t="str">
            <v>HFO-1234yf</v>
          </cell>
          <cell r="B63">
            <v>4</v>
          </cell>
        </row>
        <row r="64">
          <cell r="A64" t="str">
            <v>ISCEON MO89</v>
          </cell>
          <cell r="B64">
            <v>3699</v>
          </cell>
        </row>
        <row r="65">
          <cell r="A65" t="str">
            <v>MO29</v>
          </cell>
          <cell r="B65" t="str">
            <v>NULL</v>
          </cell>
        </row>
        <row r="66">
          <cell r="A66" t="str">
            <v>MO79</v>
          </cell>
          <cell r="B66" t="str">
            <v>NULL</v>
          </cell>
        </row>
        <row r="67">
          <cell r="A67" t="str">
            <v>Octafluoro-cyclopentene</v>
          </cell>
          <cell r="B67">
            <v>20</v>
          </cell>
        </row>
        <row r="68">
          <cell r="A68" t="str">
            <v>Other07</v>
          </cell>
          <cell r="B68" t="str">
            <v>NULL</v>
          </cell>
        </row>
        <row r="69">
          <cell r="A69" t="str">
            <v>TFP</v>
          </cell>
          <cell r="B69">
            <v>30</v>
          </cell>
        </row>
        <row r="70">
          <cell r="A70" t="str">
            <v>HFC 365/227 blend</v>
          </cell>
          <cell r="B70">
            <v>1229.3</v>
          </cell>
        </row>
        <row r="71">
          <cell r="A71" t="str">
            <v>MIX 152a/DME</v>
          </cell>
          <cell r="B71">
            <v>86.4</v>
          </cell>
        </row>
        <row r="72">
          <cell r="A72" t="str">
            <v>R422A, R422D, R437A</v>
          </cell>
          <cell r="B72">
            <v>2450.353333333333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BI47"/>
  <sheetViews>
    <sheetView zoomScale="70" zoomScaleNormal="70" workbookViewId="0">
      <pane xSplit="2" ySplit="3" topLeftCell="AF4" activePane="bottomRight" state="frozen"/>
      <selection pane="topRight" activeCell="C1" sqref="C1"/>
      <selection pane="bottomLeft" activeCell="A4" sqref="A4"/>
      <selection pane="bottomRight" activeCell="AT14" sqref="AT14"/>
    </sheetView>
  </sheetViews>
  <sheetFormatPr defaultColWidth="9.140625" defaultRowHeight="15" outlineLevelCol="1" x14ac:dyDescent="0.25"/>
  <cols>
    <col min="1" max="1" width="10.140625" bestFit="1" customWidth="1"/>
    <col min="2" max="2" width="18.85546875" bestFit="1" customWidth="1"/>
    <col min="17" max="22" width="9.140625" customWidth="1" outlineLevel="1"/>
    <col min="24" max="37" width="9.140625" customWidth="1" outlineLevel="1"/>
  </cols>
  <sheetData>
    <row r="1" spans="1:61" x14ac:dyDescent="0.25">
      <c r="AM1" s="56" t="s">
        <v>21</v>
      </c>
      <c r="AN1" s="56"/>
      <c r="AO1" s="56"/>
      <c r="AP1" s="56"/>
      <c r="AQ1" s="56"/>
      <c r="AS1" s="56" t="s">
        <v>21</v>
      </c>
      <c r="AT1" s="56"/>
      <c r="AU1" s="56"/>
      <c r="AV1" s="56"/>
      <c r="AW1" s="56"/>
      <c r="AY1" s="58" t="s">
        <v>31</v>
      </c>
      <c r="AZ1" s="58"/>
      <c r="BA1" s="58"/>
      <c r="BB1" s="58"/>
      <c r="BC1" s="58"/>
      <c r="BE1" s="56" t="s">
        <v>21</v>
      </c>
      <c r="BF1" s="56"/>
      <c r="BG1" s="56"/>
      <c r="BH1" s="56"/>
      <c r="BI1" s="56"/>
    </row>
    <row r="2" spans="1:61" x14ac:dyDescent="0.25">
      <c r="C2" s="57" t="s">
        <v>0</v>
      </c>
      <c r="D2" s="57"/>
      <c r="E2" s="57"/>
      <c r="F2" s="57"/>
      <c r="G2" s="57"/>
      <c r="H2" s="1"/>
      <c r="J2" s="57" t="s">
        <v>1</v>
      </c>
      <c r="K2" s="57"/>
      <c r="L2" s="57"/>
      <c r="M2" s="57"/>
      <c r="N2" s="57"/>
      <c r="O2" s="1"/>
      <c r="Q2" s="57" t="s">
        <v>2</v>
      </c>
      <c r="R2" s="57"/>
      <c r="S2" s="57"/>
      <c r="T2" s="57"/>
      <c r="U2" s="57"/>
      <c r="V2" s="1"/>
      <c r="X2" s="57" t="s">
        <v>19</v>
      </c>
      <c r="Y2" s="57"/>
      <c r="Z2" s="57"/>
      <c r="AA2" s="57"/>
      <c r="AB2" s="57"/>
      <c r="AC2" s="8"/>
      <c r="AE2" s="57" t="s">
        <v>20</v>
      </c>
      <c r="AF2" s="57"/>
      <c r="AG2" s="57"/>
      <c r="AH2" s="57"/>
      <c r="AI2" s="57"/>
      <c r="AJ2" s="8"/>
      <c r="AK2" s="8"/>
      <c r="AM2" s="57" t="s">
        <v>2</v>
      </c>
      <c r="AN2" s="57"/>
      <c r="AO2" s="57"/>
      <c r="AP2" s="57"/>
      <c r="AQ2" s="57"/>
      <c r="AS2" s="57" t="s">
        <v>1</v>
      </c>
      <c r="AT2" s="57"/>
      <c r="AU2" s="57"/>
      <c r="AV2" s="57"/>
      <c r="AW2" s="57"/>
      <c r="AY2" s="57" t="s">
        <v>32</v>
      </c>
      <c r="AZ2" s="57"/>
      <c r="BA2" s="57"/>
      <c r="BB2" s="57"/>
      <c r="BC2" s="57"/>
      <c r="BE2" s="57" t="s">
        <v>33</v>
      </c>
      <c r="BF2" s="57"/>
      <c r="BG2" s="57"/>
      <c r="BH2" s="57"/>
      <c r="BI2" s="57"/>
    </row>
    <row r="3" spans="1:61" x14ac:dyDescent="0.25">
      <c r="C3">
        <v>2007</v>
      </c>
      <c r="D3">
        <v>2008</v>
      </c>
      <c r="E3">
        <v>2009</v>
      </c>
      <c r="F3">
        <v>2010</v>
      </c>
      <c r="G3">
        <v>2011</v>
      </c>
      <c r="H3" s="9" t="s">
        <v>15</v>
      </c>
      <c r="J3">
        <v>2007</v>
      </c>
      <c r="K3">
        <v>2008</v>
      </c>
      <c r="L3">
        <v>2009</v>
      </c>
      <c r="M3">
        <v>2010</v>
      </c>
      <c r="N3">
        <v>2011</v>
      </c>
      <c r="O3" s="9" t="s">
        <v>15</v>
      </c>
      <c r="Q3">
        <v>2007</v>
      </c>
      <c r="R3">
        <v>2008</v>
      </c>
      <c r="S3">
        <v>2009</v>
      </c>
      <c r="T3">
        <v>2010</v>
      </c>
      <c r="U3">
        <v>2011</v>
      </c>
      <c r="V3" s="9" t="s">
        <v>15</v>
      </c>
      <c r="X3">
        <v>2007</v>
      </c>
      <c r="Y3">
        <v>2008</v>
      </c>
      <c r="Z3">
        <v>2009</v>
      </c>
      <c r="AA3">
        <v>2010</v>
      </c>
      <c r="AB3">
        <v>2011</v>
      </c>
      <c r="AC3" t="s">
        <v>22</v>
      </c>
      <c r="AE3">
        <v>2007</v>
      </c>
      <c r="AF3">
        <v>2008</v>
      </c>
      <c r="AG3">
        <v>2009</v>
      </c>
      <c r="AH3">
        <v>2010</v>
      </c>
      <c r="AI3">
        <v>2011</v>
      </c>
      <c r="AJ3" t="s">
        <v>22</v>
      </c>
      <c r="AK3" t="s">
        <v>23</v>
      </c>
      <c r="AM3">
        <v>2007</v>
      </c>
      <c r="AN3">
        <v>2008</v>
      </c>
      <c r="AO3">
        <v>2009</v>
      </c>
      <c r="AP3">
        <v>2010</v>
      </c>
      <c r="AQ3">
        <v>2011</v>
      </c>
      <c r="AS3">
        <v>2007</v>
      </c>
      <c r="AT3">
        <v>2008</v>
      </c>
      <c r="AU3">
        <v>2009</v>
      </c>
      <c r="AV3">
        <v>2010</v>
      </c>
      <c r="AW3">
        <v>2011</v>
      </c>
      <c r="AY3">
        <v>2007</v>
      </c>
      <c r="AZ3">
        <v>2008</v>
      </c>
      <c r="BA3">
        <v>2009</v>
      </c>
      <c r="BB3">
        <v>2010</v>
      </c>
      <c r="BC3">
        <v>2011</v>
      </c>
      <c r="BE3">
        <v>2007</v>
      </c>
      <c r="BF3">
        <v>2008</v>
      </c>
      <c r="BG3">
        <v>2009</v>
      </c>
      <c r="BH3">
        <v>2010</v>
      </c>
      <c r="BI3">
        <v>2011</v>
      </c>
    </row>
    <row r="4" spans="1:61" x14ac:dyDescent="0.25">
      <c r="A4" t="s">
        <v>11</v>
      </c>
      <c r="B4" t="s">
        <v>3</v>
      </c>
      <c r="C4" s="2">
        <v>58037</v>
      </c>
      <c r="D4" s="2">
        <v>41647</v>
      </c>
      <c r="E4" s="2">
        <v>35123.450999999994</v>
      </c>
      <c r="F4" s="2">
        <v>46459</v>
      </c>
      <c r="G4" s="2">
        <v>44029.839</v>
      </c>
      <c r="H4" s="10">
        <f>G4/G$11</f>
        <v>0.51580408428733637</v>
      </c>
      <c r="J4" s="3">
        <v>184.32</v>
      </c>
      <c r="K4" s="3">
        <v>132.84</v>
      </c>
      <c r="L4" s="3">
        <v>103.26538764999999</v>
      </c>
      <c r="M4" s="3">
        <v>143.13</v>
      </c>
      <c r="N4" s="3">
        <v>144.8387453</v>
      </c>
      <c r="O4" s="10">
        <f>N4/N$11</f>
        <v>0.72863565475990189</v>
      </c>
      <c r="Q4" s="12" t="s">
        <v>17</v>
      </c>
      <c r="R4" s="12" t="s">
        <v>17</v>
      </c>
      <c r="S4" s="3">
        <v>108.44</v>
      </c>
      <c r="T4" s="3">
        <v>149.84</v>
      </c>
      <c r="U4" s="3">
        <v>151.13140189000001</v>
      </c>
      <c r="V4" s="22">
        <f>U4/U$11</f>
        <v>0.72447481318690832</v>
      </c>
      <c r="X4" s="2">
        <f>IF(ISNUMBER(J4/C4),J4/C4*10^6,"")</f>
        <v>3175.905026104037</v>
      </c>
      <c r="Y4" s="2">
        <f t="shared" ref="Y4:Y11" si="0">IF(ISNUMBER(K4/D4),K4/D4*10^6,"")</f>
        <v>3189.6655221264436</v>
      </c>
      <c r="Z4" s="2">
        <f t="shared" ref="Z4:Z11" si="1">IF(ISNUMBER(L4/E4),L4/E4*10^6,"")</f>
        <v>2940.0695179411618</v>
      </c>
      <c r="AA4" s="2">
        <f t="shared" ref="AA4:AA11" si="2">IF(ISNUMBER(M4/F4),M4/F4*10^6,"")</f>
        <v>3080.7809035924147</v>
      </c>
      <c r="AB4" s="2">
        <f t="shared" ref="AB4:AB11" si="3">IF(ISNUMBER(N4/G4),N4/G4*10^6,"")</f>
        <v>3289.5588216890824</v>
      </c>
      <c r="AC4" s="16">
        <f>AVERAGE(X4:AB4)</f>
        <v>3135.1959582906279</v>
      </c>
      <c r="AE4" s="2" t="str">
        <f>IF(ISNUMBER(Q4/C4),Q4/C4*10^6,"")</f>
        <v/>
      </c>
      <c r="AF4" s="2" t="str">
        <f t="shared" ref="AF4:AF11" si="4">IF(ISNUMBER(R4/D4),R4/D4*10^6,"")</f>
        <v/>
      </c>
      <c r="AG4" s="2">
        <f t="shared" ref="AG4:AG11" si="5">IF(ISNUMBER(S4/E4),S4/E4*10^6,"")</f>
        <v>3087.3959395390852</v>
      </c>
      <c r="AH4" s="2">
        <f t="shared" ref="AH4:AH11" si="6">IF(ISNUMBER(T4/F4),T4/F4*10^6,"")</f>
        <v>3225.2093243505028</v>
      </c>
      <c r="AI4" s="2">
        <f t="shared" ref="AI4:AI11" si="7">IF(ISNUMBER(U4/G4),U4/G4*10^6,"")</f>
        <v>3432.4768230472068</v>
      </c>
      <c r="AJ4" s="16">
        <f>AVERAGE(AE4:AI4)</f>
        <v>3248.3606956455983</v>
      </c>
      <c r="AK4" s="19">
        <f>AJ4/AC4</f>
        <v>1.0360949487242481</v>
      </c>
      <c r="AM4" s="3">
        <f t="shared" ref="AM4:AP10" si="8">AM13+AM22+AM31+AM40</f>
        <v>194.85415739289556</v>
      </c>
      <c r="AN4" s="3">
        <f t="shared" si="8"/>
        <v>139.77813065785222</v>
      </c>
      <c r="AO4" s="3">
        <f t="shared" si="8"/>
        <v>108.44</v>
      </c>
      <c r="AP4" s="3">
        <f t="shared" si="8"/>
        <v>149.84</v>
      </c>
      <c r="AQ4" s="3">
        <f>AQ13+AQ22+AQ31+AQ40</f>
        <v>151.13140189000001</v>
      </c>
      <c r="AS4" s="2">
        <f t="shared" ref="AS4:AV4" si="9">AS13+AS22+AS31+AS40</f>
        <v>184.32</v>
      </c>
      <c r="AT4" s="2">
        <f t="shared" si="9"/>
        <v>132.84</v>
      </c>
      <c r="AU4" s="2">
        <f t="shared" si="9"/>
        <v>103.26538764999999</v>
      </c>
      <c r="AV4" s="2">
        <f t="shared" si="9"/>
        <v>143.13</v>
      </c>
      <c r="AW4" s="2">
        <f t="shared" ref="AW4" si="10">N4</f>
        <v>144.8387453</v>
      </c>
      <c r="AY4" s="34">
        <f>IF(AS4=0,IF(AM4=0,"","Error"),AM4/AS4)</f>
        <v>1.0571514615499977</v>
      </c>
      <c r="AZ4" s="34">
        <f t="shared" ref="AZ4:AZ11" si="11">IF(AT4=0,IF(AN4=0,"","Error"),AN4/AT4)</f>
        <v>1.0522292280777794</v>
      </c>
      <c r="BA4" s="34">
        <f t="shared" ref="BA4:BA11" si="12">IF(AU4=0,IF(AO4=0,"","Error"),AO4/AU4)</f>
        <v>1.0501098428791886</v>
      </c>
      <c r="BB4" s="34">
        <f t="shared" ref="BB4:BB11" si="13">IF(AV4=0,IF(AP4=0,"","Error"),AP4/AV4)</f>
        <v>1.0468804583246001</v>
      </c>
      <c r="BC4" s="34">
        <f t="shared" ref="BC4:BC11" si="14">IF(AW4=0,IF(AQ4=0,"","Error"),AQ4/AW4)</f>
        <v>1.0434459479538174</v>
      </c>
      <c r="BE4" s="2">
        <f t="shared" ref="BE4:BH4" si="15">BE13+BE22+BE31+BE40</f>
        <v>58037</v>
      </c>
      <c r="BF4" s="2">
        <f t="shared" si="15"/>
        <v>41647</v>
      </c>
      <c r="BG4" s="2">
        <f t="shared" si="15"/>
        <v>35123.450999999994</v>
      </c>
      <c r="BH4" s="2">
        <f t="shared" si="15"/>
        <v>46459</v>
      </c>
      <c r="BI4" s="2">
        <f t="shared" ref="BI4" si="16">BI13+BI22+BI31+BI40</f>
        <v>44029.839</v>
      </c>
    </row>
    <row r="5" spans="1:61" x14ac:dyDescent="0.25">
      <c r="A5" t="s">
        <v>11</v>
      </c>
      <c r="B5" t="s">
        <v>4</v>
      </c>
      <c r="C5" s="2">
        <v>59647</v>
      </c>
      <c r="D5" s="2">
        <v>68721</v>
      </c>
      <c r="E5" s="2">
        <v>58904.059599999979</v>
      </c>
      <c r="F5" s="2">
        <v>70439</v>
      </c>
      <c r="G5" s="2">
        <v>66496.506183999998</v>
      </c>
      <c r="H5" s="10">
        <f t="shared" ref="H5:H11" si="17">G5/G$11</f>
        <v>0.77899829432820134</v>
      </c>
      <c r="J5" s="3">
        <v>128.29</v>
      </c>
      <c r="K5" s="3">
        <v>144.75</v>
      </c>
      <c r="L5" s="3">
        <v>135.58963124660002</v>
      </c>
      <c r="M5" s="3">
        <v>152.22999999999999</v>
      </c>
      <c r="N5" s="3">
        <v>140.65985525310001</v>
      </c>
      <c r="O5" s="10">
        <f t="shared" ref="O5:O11" si="18">N5/N$11</f>
        <v>0.70761304593250685</v>
      </c>
      <c r="Q5" s="12" t="s">
        <v>17</v>
      </c>
      <c r="R5" s="12" t="s">
        <v>17</v>
      </c>
      <c r="S5" s="12">
        <f>142.21-15.3+S32</f>
        <v>142.20574480000002</v>
      </c>
      <c r="T5" s="3">
        <v>160.33000000000001</v>
      </c>
      <c r="U5" s="3">
        <v>148.31434301655</v>
      </c>
      <c r="V5" s="22">
        <f t="shared" ref="V5:V11" si="19">U5/U$11</f>
        <v>0.71097074867379895</v>
      </c>
      <c r="X5" s="2">
        <f t="shared" ref="X5:X11" si="20">IF(ISNUMBER(J5/C5),J5/C5*10^6,"")</f>
        <v>2150.8206615588374</v>
      </c>
      <c r="Y5" s="2">
        <f t="shared" si="0"/>
        <v>2106.3430392456453</v>
      </c>
      <c r="Z5" s="2">
        <f t="shared" si="1"/>
        <v>2301.8724374406288</v>
      </c>
      <c r="AA5" s="2">
        <f t="shared" si="2"/>
        <v>2161.160720623518</v>
      </c>
      <c r="AB5" s="2">
        <f t="shared" si="3"/>
        <v>2115.2969279902522</v>
      </c>
      <c r="AC5" s="16">
        <f t="shared" ref="AC5:AC11" si="21">AVERAGE(X5:AB5)</f>
        <v>2167.0987573717766</v>
      </c>
      <c r="AE5" s="2" t="str">
        <f t="shared" ref="AE5:AE11" si="22">IF(ISNUMBER(Q5/C5),Q5/C5*10^6,"")</f>
        <v/>
      </c>
      <c r="AF5" s="2" t="str">
        <f t="shared" si="4"/>
        <v/>
      </c>
      <c r="AG5" s="2">
        <f t="shared" si="5"/>
        <v>2414.1926000631724</v>
      </c>
      <c r="AH5" s="2">
        <f t="shared" si="6"/>
        <v>2276.1538352333228</v>
      </c>
      <c r="AI5" s="2">
        <f t="shared" si="7"/>
        <v>2230.4080549157711</v>
      </c>
      <c r="AJ5" s="16">
        <f t="shared" ref="AJ5:AJ11" si="23">AVERAGE(AE5:AI5)</f>
        <v>2306.9181634040888</v>
      </c>
      <c r="AK5" s="19">
        <f t="shared" ref="AK5:AK11" si="24">AJ5/AC5</f>
        <v>1.0645191667231091</v>
      </c>
      <c r="AM5" s="3">
        <f t="shared" si="8"/>
        <v>134.82687148715937</v>
      </c>
      <c r="AN5" s="3">
        <f t="shared" si="8"/>
        <v>152.30260224758112</v>
      </c>
      <c r="AO5" s="3">
        <f t="shared" si="8"/>
        <v>142.20574480000002</v>
      </c>
      <c r="AP5" s="3">
        <f t="shared" si="8"/>
        <v>160.33000000000004</v>
      </c>
      <c r="AQ5" s="3">
        <f t="shared" ref="AQ5:AQ11" si="25">AQ14+AQ23+AQ32+AQ41</f>
        <v>148.31434301655</v>
      </c>
      <c r="AS5" s="2">
        <f t="shared" ref="AS5:AV5" si="26">AS14+AS23+AS32+AS41</f>
        <v>128.29</v>
      </c>
      <c r="AT5" s="2">
        <f t="shared" si="26"/>
        <v>144.75</v>
      </c>
      <c r="AU5" s="2">
        <f t="shared" si="26"/>
        <v>135.58963124660002</v>
      </c>
      <c r="AV5" s="2">
        <f t="shared" si="26"/>
        <v>152.23000000000002</v>
      </c>
      <c r="AW5" s="2">
        <f t="shared" ref="AW5:AW10" si="27">N5</f>
        <v>140.65985525310001</v>
      </c>
      <c r="AY5" s="34">
        <f t="shared" ref="AY5:AY11" si="28">IF(AS5=0,IF(AM5=0,"","Error"),AM5/AS5)</f>
        <v>1.050953866140458</v>
      </c>
      <c r="AZ5" s="34">
        <f t="shared" si="11"/>
        <v>1.0521768721767262</v>
      </c>
      <c r="BA5" s="34">
        <f t="shared" si="12"/>
        <v>1.0487951290417414</v>
      </c>
      <c r="BB5" s="34">
        <f t="shared" si="13"/>
        <v>1.0532089601261252</v>
      </c>
      <c r="BC5" s="34">
        <f t="shared" si="14"/>
        <v>1.0544184248567345</v>
      </c>
      <c r="BE5" s="2">
        <f t="shared" ref="BE5:BH5" si="29">BE14+BE23+BE32+BE41</f>
        <v>59647</v>
      </c>
      <c r="BF5" s="2">
        <f t="shared" si="29"/>
        <v>68719</v>
      </c>
      <c r="BG5" s="2">
        <f t="shared" si="29"/>
        <v>58904.059599999971</v>
      </c>
      <c r="BH5" s="2">
        <f t="shared" si="29"/>
        <v>70440</v>
      </c>
      <c r="BI5" s="2">
        <f t="shared" ref="BI5" si="30">BI14+BI23+BI32+BI41</f>
        <v>66496.506183999998</v>
      </c>
    </row>
    <row r="6" spans="1:61" x14ac:dyDescent="0.25">
      <c r="A6" t="s">
        <v>11</v>
      </c>
      <c r="B6" t="s">
        <v>5</v>
      </c>
      <c r="C6" s="2">
        <v>23654</v>
      </c>
      <c r="D6" s="2">
        <v>19373</v>
      </c>
      <c r="E6" s="2">
        <v>17162.363599999997</v>
      </c>
      <c r="F6" s="2">
        <v>22086</v>
      </c>
      <c r="G6" s="2">
        <v>23210.476165999997</v>
      </c>
      <c r="H6" s="10">
        <f>-G6/G$11</f>
        <v>-0.27190783969654475</v>
      </c>
      <c r="J6" s="3">
        <v>73.459999999999994</v>
      </c>
      <c r="K6" s="3">
        <v>57.83</v>
      </c>
      <c r="L6" s="3">
        <v>58.160711006200003</v>
      </c>
      <c r="M6" s="3">
        <v>72.41</v>
      </c>
      <c r="N6" s="3">
        <v>81.405457332499992</v>
      </c>
      <c r="O6" s="10">
        <f>-N6/N$11</f>
        <v>-0.40952383688244637</v>
      </c>
      <c r="Q6" s="12" t="s">
        <v>17</v>
      </c>
      <c r="R6" s="12" t="s">
        <v>17</v>
      </c>
      <c r="S6" s="12">
        <f>60.42-32.44+S33</f>
        <v>60.419171960000007</v>
      </c>
      <c r="T6" s="3">
        <v>75.2</v>
      </c>
      <c r="U6" s="3">
        <v>84.37388472541997</v>
      </c>
      <c r="V6" s="22">
        <f>-U6/U$11</f>
        <v>-0.40446097640775591</v>
      </c>
      <c r="X6" s="2">
        <f t="shared" si="20"/>
        <v>3105.6058171979366</v>
      </c>
      <c r="Y6" s="2">
        <f t="shared" si="0"/>
        <v>2985.0823310793371</v>
      </c>
      <c r="Z6" s="2">
        <f t="shared" si="1"/>
        <v>3388.8520463579976</v>
      </c>
      <c r="AA6" s="2">
        <f t="shared" si="2"/>
        <v>3278.5474961514078</v>
      </c>
      <c r="AB6" s="2">
        <f t="shared" si="3"/>
        <v>3507.2721796094497</v>
      </c>
      <c r="AC6" s="16">
        <f t="shared" si="21"/>
        <v>3253.0719740792256</v>
      </c>
      <c r="AE6" s="2" t="str">
        <f t="shared" si="22"/>
        <v/>
      </c>
      <c r="AF6" s="2" t="str">
        <f t="shared" si="4"/>
        <v/>
      </c>
      <c r="AG6" s="2">
        <f t="shared" si="5"/>
        <v>3520.4458644612341</v>
      </c>
      <c r="AH6" s="2">
        <f t="shared" si="6"/>
        <v>3404.8718645295662</v>
      </c>
      <c r="AI6" s="2">
        <f t="shared" si="7"/>
        <v>3635.1638855654132</v>
      </c>
      <c r="AJ6" s="16">
        <f t="shared" si="23"/>
        <v>3520.1605381854042</v>
      </c>
      <c r="AK6" s="19">
        <f t="shared" si="24"/>
        <v>1.0821034905573454</v>
      </c>
      <c r="AM6" s="3">
        <f t="shared" si="8"/>
        <v>76.331887079820163</v>
      </c>
      <c r="AN6" s="3">
        <f t="shared" si="8"/>
        <v>60.162321944364756</v>
      </c>
      <c r="AO6" s="3">
        <f t="shared" si="8"/>
        <v>60.419171960000007</v>
      </c>
      <c r="AP6" s="3">
        <f t="shared" si="8"/>
        <v>75.2</v>
      </c>
      <c r="AQ6" s="3">
        <f t="shared" si="25"/>
        <v>84.373884725419998</v>
      </c>
      <c r="AS6" s="2">
        <f t="shared" ref="AS6:AV6" si="31">AS15+AS24+AS33+AS42</f>
        <v>73.459999999999994</v>
      </c>
      <c r="AT6" s="2">
        <f t="shared" si="31"/>
        <v>57.83</v>
      </c>
      <c r="AU6" s="2">
        <f t="shared" si="31"/>
        <v>58.160711006200003</v>
      </c>
      <c r="AV6" s="2">
        <f t="shared" si="31"/>
        <v>72.41</v>
      </c>
      <c r="AW6" s="2">
        <f t="shared" si="27"/>
        <v>81.405457332499992</v>
      </c>
      <c r="AY6" s="34">
        <f t="shared" si="28"/>
        <v>1.0390945695592182</v>
      </c>
      <c r="AZ6" s="34">
        <f t="shared" si="11"/>
        <v>1.04033065786555</v>
      </c>
      <c r="BA6" s="34">
        <f t="shared" si="12"/>
        <v>1.0388313848769704</v>
      </c>
      <c r="BB6" s="34">
        <f t="shared" si="13"/>
        <v>1.0385305896975556</v>
      </c>
      <c r="BC6" s="34">
        <f t="shared" si="14"/>
        <v>1.0364647222703447</v>
      </c>
      <c r="BE6" s="2">
        <f t="shared" ref="BE6:BH6" si="32">BE15+BE24+BE33+BE42</f>
        <v>23654</v>
      </c>
      <c r="BF6" s="2">
        <f t="shared" si="32"/>
        <v>19373</v>
      </c>
      <c r="BG6" s="2">
        <f t="shared" si="32"/>
        <v>17162.363599999997</v>
      </c>
      <c r="BH6" s="2">
        <f t="shared" si="32"/>
        <v>22086</v>
      </c>
      <c r="BI6" s="2">
        <f t="shared" ref="BI6" si="33">BI15+BI24+BI33+BI42</f>
        <v>23210.476165999997</v>
      </c>
    </row>
    <row r="7" spans="1:61" x14ac:dyDescent="0.25">
      <c r="A7" t="s">
        <v>11</v>
      </c>
      <c r="B7" t="s">
        <v>6</v>
      </c>
      <c r="C7" s="12">
        <f t="shared" ref="C7:E7" si="34">C16</f>
        <v>760.64</v>
      </c>
      <c r="D7" s="12" t="s">
        <v>16</v>
      </c>
      <c r="E7" s="12" t="str">
        <f t="shared" si="34"/>
        <v>&lt; 3 comp.</v>
      </c>
      <c r="F7" s="12">
        <f>F16</f>
        <v>510.8</v>
      </c>
      <c r="G7" s="2">
        <v>280</v>
      </c>
      <c r="H7" s="10">
        <f>-G7/G$11</f>
        <v>-3.2801651534645447E-3</v>
      </c>
      <c r="J7" s="12" t="str">
        <f t="shared" ref="J7:L7" si="35">J16</f>
        <v>n.a.</v>
      </c>
      <c r="K7" s="12" t="s">
        <v>16</v>
      </c>
      <c r="L7" s="12" t="str">
        <f t="shared" si="35"/>
        <v>&lt; 3 comp.</v>
      </c>
      <c r="M7" s="12">
        <f>M16</f>
        <v>2.97</v>
      </c>
      <c r="N7" s="3">
        <v>3.36</v>
      </c>
      <c r="O7" s="10">
        <f>-N7/N$11</f>
        <v>-1.6903044795937419E-2</v>
      </c>
      <c r="Q7" s="12" t="str">
        <f t="shared" ref="Q7:S8" si="36">Q16</f>
        <v>n.a.</v>
      </c>
      <c r="R7" s="12">
        <f t="shared" si="36"/>
        <v>0</v>
      </c>
      <c r="S7" s="12" t="str">
        <f t="shared" si="36"/>
        <v>&lt; 3 comp.</v>
      </c>
      <c r="T7" s="12" t="str">
        <f>T16</f>
        <v>n.a.</v>
      </c>
      <c r="U7" s="3">
        <v>4.1440000000000001</v>
      </c>
      <c r="V7" s="22">
        <f>-U7/U$11</f>
        <v>-1.9864988932159162E-2</v>
      </c>
      <c r="X7" s="2" t="str">
        <f t="shared" si="20"/>
        <v/>
      </c>
      <c r="Y7" s="2" t="str">
        <f t="shared" si="0"/>
        <v/>
      </c>
      <c r="Z7" s="2" t="str">
        <f t="shared" si="1"/>
        <v/>
      </c>
      <c r="AA7" s="2">
        <f t="shared" si="2"/>
        <v>5814.4087705559905</v>
      </c>
      <c r="AB7" s="2">
        <f t="shared" si="3"/>
        <v>12000</v>
      </c>
      <c r="AC7" s="16">
        <f t="shared" si="21"/>
        <v>8907.2043852779952</v>
      </c>
      <c r="AE7" s="2" t="str">
        <f t="shared" si="22"/>
        <v/>
      </c>
      <c r="AF7" s="2" t="str">
        <f t="shared" si="4"/>
        <v/>
      </c>
      <c r="AG7" s="2" t="str">
        <f t="shared" si="5"/>
        <v/>
      </c>
      <c r="AH7" s="2" t="str">
        <f t="shared" si="6"/>
        <v/>
      </c>
      <c r="AI7" s="2">
        <f t="shared" si="7"/>
        <v>14800</v>
      </c>
      <c r="AJ7" s="16">
        <f t="shared" si="23"/>
        <v>14800</v>
      </c>
      <c r="AK7" s="19">
        <f t="shared" si="24"/>
        <v>1.6615763330256275</v>
      </c>
      <c r="AM7" s="3">
        <f t="shared" si="8"/>
        <v>5.4546286609240413</v>
      </c>
      <c r="AN7" s="3">
        <f t="shared" si="8"/>
        <v>4.857419107282694</v>
      </c>
      <c r="AO7" s="3">
        <f t="shared" si="8"/>
        <v>4.2602095536413476</v>
      </c>
      <c r="AP7" s="3">
        <f t="shared" si="8"/>
        <v>3.6630000000000003</v>
      </c>
      <c r="AQ7" s="3">
        <f t="shared" si="25"/>
        <v>4.1440000000000001</v>
      </c>
      <c r="AS7" s="3">
        <f t="shared" ref="AS7:AV7" si="37">AS16+AS25+AS34+AS43</f>
        <v>4.4226718872357091</v>
      </c>
      <c r="AT7" s="3">
        <f t="shared" si="37"/>
        <v>3.938447924823806</v>
      </c>
      <c r="AU7" s="3">
        <f t="shared" si="37"/>
        <v>3.4542239624119033</v>
      </c>
      <c r="AV7" s="3">
        <f t="shared" si="37"/>
        <v>2.97</v>
      </c>
      <c r="AW7" s="2">
        <f t="shared" si="27"/>
        <v>3.36</v>
      </c>
      <c r="AY7" s="34">
        <f t="shared" si="28"/>
        <v>1.2333333333333334</v>
      </c>
      <c r="AZ7" s="34">
        <f t="shared" si="11"/>
        <v>1.2333333333333334</v>
      </c>
      <c r="BA7" s="34">
        <f t="shared" si="12"/>
        <v>1.2333333333333334</v>
      </c>
      <c r="BB7" s="34">
        <f t="shared" si="13"/>
        <v>1.2333333333333334</v>
      </c>
      <c r="BC7" s="34">
        <f t="shared" si="14"/>
        <v>1.2333333333333334</v>
      </c>
      <c r="BE7" s="2">
        <f t="shared" ref="BE7:BH7" si="38">BE16+BE25+BE34+BE43</f>
        <v>760.64</v>
      </c>
      <c r="BF7" s="2">
        <f t="shared" si="38"/>
        <v>677.36</v>
      </c>
      <c r="BG7" s="2">
        <f t="shared" si="38"/>
        <v>594.08000000000004</v>
      </c>
      <c r="BH7" s="2">
        <f t="shared" si="38"/>
        <v>510.8</v>
      </c>
      <c r="BI7" s="2">
        <f t="shared" ref="BI7" si="39">BI16+BI25+BI34+BI43</f>
        <v>280</v>
      </c>
    </row>
    <row r="8" spans="1:61" x14ac:dyDescent="0.25">
      <c r="A8" t="s">
        <v>11</v>
      </c>
      <c r="B8" t="s">
        <v>7</v>
      </c>
      <c r="C8" s="13">
        <f>C17</f>
        <v>9</v>
      </c>
      <c r="D8" s="13">
        <f t="shared" ref="D8:F8" si="40">D17</f>
        <v>2</v>
      </c>
      <c r="E8" s="13" t="str">
        <f t="shared" si="40"/>
        <v>&lt; 3 comp.</v>
      </c>
      <c r="F8" s="13">
        <f t="shared" si="40"/>
        <v>1340</v>
      </c>
      <c r="G8" s="2">
        <v>1453.53</v>
      </c>
      <c r="H8" s="10">
        <f t="shared" ref="H8:H10" si="41">-G8/G$11</f>
        <v>-1.7027923055411856E-2</v>
      </c>
      <c r="J8" s="12">
        <f t="shared" ref="J8:L8" si="42">J17</f>
        <v>0.11</v>
      </c>
      <c r="K8" s="12">
        <f t="shared" si="42"/>
        <v>0.01</v>
      </c>
      <c r="L8" s="12" t="str">
        <f t="shared" si="42"/>
        <v>&lt; 3 comp.</v>
      </c>
      <c r="M8" s="12">
        <f>M17</f>
        <v>0.47</v>
      </c>
      <c r="N8" s="3">
        <v>0.17442360000000001</v>
      </c>
      <c r="O8" s="10">
        <f t="shared" ref="O8:O10" si="43">-N8/N$11</f>
        <v>-8.7746723936567577E-4</v>
      </c>
      <c r="Q8" s="12" t="str">
        <f t="shared" si="36"/>
        <v>n.a.</v>
      </c>
      <c r="R8" s="12">
        <f t="shared" si="36"/>
        <v>1.0999999999999999E-2</v>
      </c>
      <c r="S8" s="12" t="str">
        <f t="shared" si="36"/>
        <v>&lt; 3 comp.</v>
      </c>
      <c r="T8" s="12" t="str">
        <f>T17</f>
        <v>n.a.</v>
      </c>
      <c r="U8" s="3">
        <v>0.18023771999999999</v>
      </c>
      <c r="V8" s="22">
        <f t="shared" ref="V8:V10" si="44">-U8/U$11</f>
        <v>-8.6400104077162206E-4</v>
      </c>
      <c r="X8" s="2">
        <f t="shared" si="20"/>
        <v>12222.222222222223</v>
      </c>
      <c r="Y8" s="2">
        <f t="shared" si="0"/>
        <v>5000</v>
      </c>
      <c r="Z8" s="2" t="str">
        <f t="shared" si="1"/>
        <v/>
      </c>
      <c r="AA8" s="2">
        <f t="shared" si="2"/>
        <v>350.74626865671638</v>
      </c>
      <c r="AB8" s="2">
        <f t="shared" si="3"/>
        <v>120.00000000000001</v>
      </c>
      <c r="AC8" s="16">
        <f t="shared" si="21"/>
        <v>4423.2421227197347</v>
      </c>
      <c r="AE8" s="2" t="str">
        <f t="shared" si="22"/>
        <v/>
      </c>
      <c r="AF8" s="2">
        <f t="shared" si="4"/>
        <v>5500</v>
      </c>
      <c r="AG8" s="2" t="str">
        <f t="shared" si="5"/>
        <v/>
      </c>
      <c r="AH8" s="2" t="str">
        <f t="shared" si="6"/>
        <v/>
      </c>
      <c r="AI8" s="2">
        <f t="shared" si="7"/>
        <v>124</v>
      </c>
      <c r="AJ8" s="16">
        <f t="shared" si="23"/>
        <v>2812</v>
      </c>
      <c r="AK8" s="19">
        <f t="shared" si="24"/>
        <v>0.63573277744763734</v>
      </c>
      <c r="AM8" s="3">
        <f t="shared" si="8"/>
        <v>0.12082812499999999</v>
      </c>
      <c r="AN8" s="3">
        <f t="shared" si="8"/>
        <v>1.0999999999999999E-2</v>
      </c>
      <c r="AO8" s="3">
        <f t="shared" si="8"/>
        <v>0.31854687499999995</v>
      </c>
      <c r="AP8" s="3">
        <f t="shared" si="8"/>
        <v>0.51626562499999995</v>
      </c>
      <c r="AQ8" s="3">
        <f t="shared" si="25"/>
        <v>0.18023771999999999</v>
      </c>
      <c r="AS8" s="2">
        <f t="shared" ref="AS8:AV8" si="45">AS17+AS26+AS35+AS44</f>
        <v>0.11</v>
      </c>
      <c r="AT8" s="2">
        <f t="shared" si="45"/>
        <v>0.01</v>
      </c>
      <c r="AU8" s="2">
        <f t="shared" si="45"/>
        <v>0.28999999999999998</v>
      </c>
      <c r="AV8" s="2">
        <f t="shared" si="45"/>
        <v>0.47</v>
      </c>
      <c r="AW8" s="2">
        <f t="shared" si="27"/>
        <v>0.17442360000000001</v>
      </c>
      <c r="AY8" s="34">
        <f t="shared" si="28"/>
        <v>1.0984375</v>
      </c>
      <c r="AZ8" s="34">
        <f t="shared" si="11"/>
        <v>1.0999999999999999</v>
      </c>
      <c r="BA8" s="34">
        <f t="shared" si="12"/>
        <v>1.0984375</v>
      </c>
      <c r="BB8" s="34">
        <f t="shared" si="13"/>
        <v>1.0984375</v>
      </c>
      <c r="BC8" s="34">
        <f t="shared" si="14"/>
        <v>1.0333333333333332</v>
      </c>
      <c r="BE8" s="2">
        <f t="shared" ref="BE8:BH8" si="46">BE17+BE26+BE35+BE44</f>
        <v>9</v>
      </c>
      <c r="BF8" s="2">
        <f t="shared" si="46"/>
        <v>2</v>
      </c>
      <c r="BG8" s="2">
        <f t="shared" si="46"/>
        <v>674.5</v>
      </c>
      <c r="BH8" s="2">
        <f t="shared" si="46"/>
        <v>1340</v>
      </c>
      <c r="BI8" s="2">
        <f t="shared" ref="BI8" si="47">BI17+BI26+BI35+BI44</f>
        <v>1453.53</v>
      </c>
    </row>
    <row r="9" spans="1:61" x14ac:dyDescent="0.25">
      <c r="A9" t="s">
        <v>11</v>
      </c>
      <c r="B9" t="s">
        <v>8</v>
      </c>
      <c r="C9" s="15" t="e">
        <f t="shared" ref="C9:E9" si="48">C18+C27+C36+C45</f>
        <v>#VALUE!</v>
      </c>
      <c r="D9" s="15" t="e">
        <f t="shared" si="48"/>
        <v>#VALUE!</v>
      </c>
      <c r="E9" s="15" t="e">
        <f t="shared" si="48"/>
        <v>#VALUE!</v>
      </c>
      <c r="F9" s="15" t="e">
        <f>F18+F27+F36+F45</f>
        <v>#VALUE!</v>
      </c>
      <c r="G9" s="2">
        <v>145.48845600000001</v>
      </c>
      <c r="H9" s="10">
        <f t="shared" si="41"/>
        <v>-1.7043791557234274E-3</v>
      </c>
      <c r="J9" s="15" t="e">
        <f t="shared" ref="J9:L9" si="49">J18+J27+J36+J45</f>
        <v>#VALUE!</v>
      </c>
      <c r="K9" s="15" t="e">
        <f t="shared" si="49"/>
        <v>#VALUE!</v>
      </c>
      <c r="L9" s="15" t="e">
        <f t="shared" si="49"/>
        <v>#VALUE!</v>
      </c>
      <c r="M9" s="15" t="e">
        <f>M18+M27+M36+M45</f>
        <v>#VALUE!</v>
      </c>
      <c r="N9" s="3">
        <v>1.5378382453999999</v>
      </c>
      <c r="O9" s="10">
        <f t="shared" si="43"/>
        <v>-7.73635379491131E-3</v>
      </c>
      <c r="Q9" s="12" t="s">
        <v>17</v>
      </c>
      <c r="R9" s="12" t="s">
        <v>17</v>
      </c>
      <c r="S9" s="12" t="s">
        <v>17</v>
      </c>
      <c r="T9" s="12" t="s">
        <v>17</v>
      </c>
      <c r="U9" s="3">
        <v>1.8902213826999998</v>
      </c>
      <c r="V9" s="22">
        <f t="shared" si="44"/>
        <v>-9.061106864542973E-3</v>
      </c>
      <c r="X9" s="2" t="str">
        <f t="shared" si="20"/>
        <v/>
      </c>
      <c r="Y9" s="2" t="str">
        <f t="shared" si="0"/>
        <v/>
      </c>
      <c r="Z9" s="2" t="str">
        <f t="shared" si="1"/>
        <v/>
      </c>
      <c r="AA9" s="2" t="str">
        <f t="shared" si="2"/>
        <v/>
      </c>
      <c r="AB9" s="2">
        <f t="shared" si="3"/>
        <v>10570.173659688848</v>
      </c>
      <c r="AC9" s="16">
        <f t="shared" si="21"/>
        <v>10570.173659688848</v>
      </c>
      <c r="AE9" s="2" t="str">
        <f t="shared" si="22"/>
        <v/>
      </c>
      <c r="AF9" s="2" t="str">
        <f t="shared" si="4"/>
        <v/>
      </c>
      <c r="AG9" s="2" t="str">
        <f t="shared" si="5"/>
        <v/>
      </c>
      <c r="AH9" s="2" t="str">
        <f t="shared" si="6"/>
        <v/>
      </c>
      <c r="AI9" s="2">
        <f t="shared" si="7"/>
        <v>12992.243059476827</v>
      </c>
      <c r="AJ9" s="16">
        <f t="shared" si="23"/>
        <v>12992.243059476827</v>
      </c>
      <c r="AK9" s="19">
        <f t="shared" si="24"/>
        <v>1.2291418738960695</v>
      </c>
      <c r="AM9" s="3">
        <f t="shared" si="8"/>
        <v>0.12291418738960697</v>
      </c>
      <c r="AN9" s="3">
        <f t="shared" si="8"/>
        <v>0</v>
      </c>
      <c r="AO9" s="3">
        <f t="shared" si="8"/>
        <v>0.12291418738960697</v>
      </c>
      <c r="AP9" s="3">
        <f t="shared" si="8"/>
        <v>1.2783075488519124</v>
      </c>
      <c r="AQ9" s="3">
        <f t="shared" si="25"/>
        <v>1.8902213826999998</v>
      </c>
      <c r="AS9" s="36">
        <f t="shared" ref="AS9:AV9" si="50">AS18+AS27+AS36+AS45</f>
        <v>0.1</v>
      </c>
      <c r="AT9" s="36">
        <f t="shared" si="50"/>
        <v>0</v>
      </c>
      <c r="AU9" s="36">
        <f t="shared" si="50"/>
        <v>0.1</v>
      </c>
      <c r="AV9" s="36">
        <f t="shared" si="50"/>
        <v>1.04</v>
      </c>
      <c r="AW9" s="2">
        <f t="shared" si="27"/>
        <v>1.5378382453999999</v>
      </c>
      <c r="AY9" s="34">
        <f t="shared" si="28"/>
        <v>1.2291418738960695</v>
      </c>
      <c r="AZ9" s="34" t="str">
        <f t="shared" si="11"/>
        <v/>
      </c>
      <c r="BA9" s="34">
        <f t="shared" si="12"/>
        <v>1.2291418738960695</v>
      </c>
      <c r="BB9" s="34">
        <f t="shared" si="13"/>
        <v>1.2291418738960695</v>
      </c>
      <c r="BC9" s="34">
        <f t="shared" si="14"/>
        <v>1.2291418738960698</v>
      </c>
      <c r="BE9" s="2">
        <f t="shared" ref="BE9:BH9" si="51">BE18+BE27+BE36+BE45</f>
        <v>32</v>
      </c>
      <c r="BF9" s="2">
        <f t="shared" si="51"/>
        <v>0</v>
      </c>
      <c r="BG9" s="2">
        <f t="shared" si="51"/>
        <v>32</v>
      </c>
      <c r="BH9" s="2">
        <f t="shared" si="51"/>
        <v>110</v>
      </c>
      <c r="BI9" s="2">
        <f t="shared" ref="BI9" si="52">BI18+BI27+BI36+BI45</f>
        <v>145.48845600000001</v>
      </c>
    </row>
    <row r="10" spans="1:61" x14ac:dyDescent="0.25">
      <c r="A10" t="s">
        <v>11</v>
      </c>
      <c r="B10" t="s">
        <v>9</v>
      </c>
      <c r="C10" s="15">
        <f t="shared" ref="C10:E10" si="53">C19+C28+C37+C46</f>
        <v>18.03</v>
      </c>
      <c r="D10" s="15" t="e">
        <f t="shared" si="53"/>
        <v>#VALUE!</v>
      </c>
      <c r="E10" s="15">
        <f t="shared" si="53"/>
        <v>43.65</v>
      </c>
      <c r="F10" s="15">
        <f>F19+F28+F37+F46</f>
        <v>67.13</v>
      </c>
      <c r="G10" s="2">
        <v>75.295000000000002</v>
      </c>
      <c r="H10" s="10">
        <f t="shared" si="41"/>
        <v>-8.8207155439326025E-4</v>
      </c>
      <c r="J10" s="15" t="e">
        <f t="shared" ref="J10:L10" si="54">J19+J28+J37+J46</f>
        <v>#VALUE!</v>
      </c>
      <c r="K10" s="15" t="e">
        <f t="shared" si="54"/>
        <v>#VALUE!</v>
      </c>
      <c r="L10" s="15">
        <f t="shared" si="54"/>
        <v>0.11</v>
      </c>
      <c r="M10" s="15">
        <f>M19+M28+M37+M46</f>
        <v>0.24</v>
      </c>
      <c r="N10" s="3">
        <v>0.24012674999999997</v>
      </c>
      <c r="O10" s="10">
        <f t="shared" si="43"/>
        <v>-1.2079979797478767E-3</v>
      </c>
      <c r="Q10" s="12" t="s">
        <v>17</v>
      </c>
      <c r="R10" s="12" t="s">
        <v>17</v>
      </c>
      <c r="S10" s="12" t="s">
        <v>17</v>
      </c>
      <c r="T10" s="12" t="s">
        <v>17</v>
      </c>
      <c r="U10" s="3">
        <v>0.24918014500000002</v>
      </c>
      <c r="V10" s="22">
        <f t="shared" si="44"/>
        <v>-1.1944886154775134E-3</v>
      </c>
      <c r="X10" s="2" t="str">
        <f t="shared" si="20"/>
        <v/>
      </c>
      <c r="Y10" s="2" t="str">
        <f t="shared" si="0"/>
        <v/>
      </c>
      <c r="Z10" s="2">
        <f t="shared" si="1"/>
        <v>2520.0458190148915</v>
      </c>
      <c r="AA10" s="2">
        <f t="shared" si="2"/>
        <v>3575.1526888127514</v>
      </c>
      <c r="AB10" s="2">
        <f t="shared" si="3"/>
        <v>3189.1460256325117</v>
      </c>
      <c r="AC10" s="16">
        <f t="shared" si="21"/>
        <v>3094.7815111533851</v>
      </c>
      <c r="AE10" s="2" t="str">
        <f t="shared" si="22"/>
        <v/>
      </c>
      <c r="AF10" s="2" t="str">
        <f t="shared" si="4"/>
        <v/>
      </c>
      <c r="AG10" s="2" t="str">
        <f t="shared" si="5"/>
        <v/>
      </c>
      <c r="AH10" s="2" t="str">
        <f t="shared" si="6"/>
        <v/>
      </c>
      <c r="AI10" s="2">
        <f t="shared" si="7"/>
        <v>3309.3850189255595</v>
      </c>
      <c r="AJ10" s="16">
        <f t="shared" si="23"/>
        <v>3309.3850189255595</v>
      </c>
      <c r="AK10" s="19">
        <f t="shared" si="24"/>
        <v>1.0693436699808234</v>
      </c>
      <c r="AM10" s="3">
        <f t="shared" si="8"/>
        <v>3.4371581967519348E-2</v>
      </c>
      <c r="AN10" s="3">
        <f t="shared" si="8"/>
        <v>3.4371581967519348E-2</v>
      </c>
      <c r="AO10" s="3">
        <f t="shared" si="8"/>
        <v>0.11633458512083471</v>
      </c>
      <c r="AP10" s="3">
        <f t="shared" si="8"/>
        <v>0.25382091299091208</v>
      </c>
      <c r="AQ10" s="3">
        <f t="shared" si="25"/>
        <v>0.24918014500000002</v>
      </c>
      <c r="AS10" s="36">
        <f t="shared" ref="AS10:AV10" si="55">AS19+AS28+AS37+AS46</f>
        <v>3.2500000000000001E-2</v>
      </c>
      <c r="AT10" s="36">
        <f t="shared" si="55"/>
        <v>3.2500000000000001E-2</v>
      </c>
      <c r="AU10" s="36">
        <f t="shared" si="55"/>
        <v>0.11</v>
      </c>
      <c r="AV10" s="36">
        <f t="shared" si="55"/>
        <v>0.24</v>
      </c>
      <c r="AW10" s="2">
        <f t="shared" si="27"/>
        <v>0.24012674999999997</v>
      </c>
      <c r="AY10" s="34">
        <f t="shared" si="28"/>
        <v>1.0575871374621337</v>
      </c>
      <c r="AZ10" s="34">
        <f t="shared" si="11"/>
        <v>1.0575871374621337</v>
      </c>
      <c r="BA10" s="34">
        <f t="shared" si="12"/>
        <v>1.0575871374621337</v>
      </c>
      <c r="BB10" s="34">
        <f t="shared" si="13"/>
        <v>1.0575871374621337</v>
      </c>
      <c r="BC10" s="34">
        <f t="shared" si="14"/>
        <v>1.0377025674982068</v>
      </c>
      <c r="BE10" s="2">
        <f t="shared" ref="BE10:BH10" si="56">BE19+BE28+BE37+BE46</f>
        <v>18.03</v>
      </c>
      <c r="BF10" s="2">
        <f t="shared" si="56"/>
        <v>25</v>
      </c>
      <c r="BG10" s="2">
        <f t="shared" si="56"/>
        <v>43.65</v>
      </c>
      <c r="BH10" s="2">
        <f t="shared" si="56"/>
        <v>67.13</v>
      </c>
      <c r="BI10" s="2">
        <f t="shared" ref="BI10" si="57">BI19+BI28+BI37+BI46</f>
        <v>75.295000000000002</v>
      </c>
    </row>
    <row r="11" spans="1:61" s="4" customFormat="1" x14ac:dyDescent="0.25">
      <c r="A11" s="4" t="s">
        <v>11</v>
      </c>
      <c r="B11" s="4" t="s">
        <v>10</v>
      </c>
      <c r="C11" s="5" t="e">
        <f t="shared" ref="C11:F11" si="58">C4+C5-C6-C7-C8-C9-C10</f>
        <v>#VALUE!</v>
      </c>
      <c r="D11" s="5" t="e">
        <f t="shared" si="58"/>
        <v>#VALUE!</v>
      </c>
      <c r="E11" s="5" t="e">
        <f t="shared" si="58"/>
        <v>#VALUE!</v>
      </c>
      <c r="F11" s="5" t="e">
        <f t="shared" si="58"/>
        <v>#VALUE!</v>
      </c>
      <c r="G11" s="5">
        <f>G4+G5-G6-G7-G8-G9-G10</f>
        <v>85361.555562000009</v>
      </c>
      <c r="H11" s="11">
        <f t="shared" si="17"/>
        <v>1</v>
      </c>
      <c r="J11" s="6" t="e">
        <f t="shared" ref="J11:M11" si="59">J4+J5-J6-J7-J8-J9-J10</f>
        <v>#VALUE!</v>
      </c>
      <c r="K11" s="6" t="e">
        <f t="shared" si="59"/>
        <v>#VALUE!</v>
      </c>
      <c r="L11" s="6" t="e">
        <f t="shared" si="59"/>
        <v>#VALUE!</v>
      </c>
      <c r="M11" s="6" t="e">
        <f t="shared" si="59"/>
        <v>#VALUE!</v>
      </c>
      <c r="N11" s="6">
        <f>N4+N5-N6-N7-N8-N9-N10</f>
        <v>198.78075462519999</v>
      </c>
      <c r="O11" s="11">
        <f t="shared" si="18"/>
        <v>1</v>
      </c>
      <c r="Q11" s="6" t="e">
        <f t="shared" ref="Q11:T11" si="60">Q4+Q5-Q6-Q7-Q8-Q9-Q10</f>
        <v>#VALUE!</v>
      </c>
      <c r="R11" s="6" t="e">
        <f t="shared" si="60"/>
        <v>#VALUE!</v>
      </c>
      <c r="S11" s="6" t="e">
        <f t="shared" si="60"/>
        <v>#VALUE!</v>
      </c>
      <c r="T11" s="6" t="e">
        <f t="shared" si="60"/>
        <v>#VALUE!</v>
      </c>
      <c r="U11" s="6">
        <f>U4+U5-U6-U7-U8-U9-U10</f>
        <v>208.60822093343</v>
      </c>
      <c r="V11" s="23">
        <f t="shared" si="19"/>
        <v>1</v>
      </c>
      <c r="X11" s="5" t="str">
        <f t="shared" si="20"/>
        <v/>
      </c>
      <c r="Y11" s="5" t="str">
        <f t="shared" si="0"/>
        <v/>
      </c>
      <c r="Z11" s="5" t="str">
        <f t="shared" si="1"/>
        <v/>
      </c>
      <c r="AA11" s="5" t="str">
        <f t="shared" si="2"/>
        <v/>
      </c>
      <c r="AB11" s="5">
        <f t="shared" si="3"/>
        <v>2328.691801789168</v>
      </c>
      <c r="AC11" s="17">
        <f t="shared" si="21"/>
        <v>2328.691801789168</v>
      </c>
      <c r="AE11" s="5" t="str">
        <f t="shared" si="22"/>
        <v/>
      </c>
      <c r="AF11" s="5" t="str">
        <f t="shared" si="4"/>
        <v/>
      </c>
      <c r="AG11" s="5" t="str">
        <f t="shared" si="5"/>
        <v/>
      </c>
      <c r="AH11" s="5" t="str">
        <f t="shared" si="6"/>
        <v/>
      </c>
      <c r="AI11" s="5">
        <f t="shared" si="7"/>
        <v>2443.8193465431073</v>
      </c>
      <c r="AJ11" s="17">
        <f t="shared" si="23"/>
        <v>2443.8193465431073</v>
      </c>
      <c r="AK11" s="20">
        <f t="shared" si="24"/>
        <v>1.0494387212019578</v>
      </c>
      <c r="AM11" s="6">
        <f>AM4+AM5-AM6-AM7-AM8-AM9-AM10</f>
        <v>247.61639924495358</v>
      </c>
      <c r="AN11" s="6">
        <f>AN4+AN5-AN6-AN7-AN8-AN9-AN10</f>
        <v>227.01562027181842</v>
      </c>
      <c r="AO11" s="6">
        <f>AO4+AO5-AO6-AO7-AO8-AO9-AO10</f>
        <v>185.40856763884824</v>
      </c>
      <c r="AP11" s="6">
        <f>AP4+AP5-AP6-AP7-AP8-AP9-AP10</f>
        <v>229.25860591315728</v>
      </c>
      <c r="AQ11" s="6">
        <f t="shared" si="25"/>
        <v>208.60822093343</v>
      </c>
      <c r="AS11" s="5">
        <f>AS4+AS5-AS6-AS7-AS8-AS9-AS10</f>
        <v>234.48482811276432</v>
      </c>
      <c r="AT11" s="5">
        <f>AT4+AT5-AT6-AT7-AT8-AT9-AT10</f>
        <v>215.77905207517625</v>
      </c>
      <c r="AU11" s="5">
        <f>AU4+AU5-AU6-AU7-AU8-AU9-AU10</f>
        <v>176.74008392798811</v>
      </c>
      <c r="AV11" s="5">
        <f>AV4+AV5-AV6-AV7-AV8-AV9-AV10</f>
        <v>218.23000000000002</v>
      </c>
      <c r="AW11" s="5">
        <f>AW4+AW5-AW6-AW7-AW8-AW9-AW10</f>
        <v>198.78075462519999</v>
      </c>
      <c r="AY11" s="35">
        <f t="shared" si="28"/>
        <v>1.0560017943927453</v>
      </c>
      <c r="AZ11" s="35">
        <f t="shared" si="11"/>
        <v>1.052074416346622</v>
      </c>
      <c r="BA11" s="35">
        <f t="shared" si="12"/>
        <v>1.0490465067018531</v>
      </c>
      <c r="BB11" s="35">
        <f t="shared" si="13"/>
        <v>1.0505366169323982</v>
      </c>
      <c r="BC11" s="35">
        <f t="shared" si="14"/>
        <v>1.0494387212019576</v>
      </c>
      <c r="BE11" s="5">
        <f>BE4+BE5-BE6-BE7-BE8-BE9-BE10</f>
        <v>93210.33</v>
      </c>
      <c r="BF11" s="5">
        <f>BF4+BF5-BF6-BF7-BF8-BF9-BF10</f>
        <v>90288.639999999999</v>
      </c>
      <c r="BG11" s="5">
        <f>BG4+BG5-BG6-BG7-BG8-BG9-BG10</f>
        <v>75520.916999999972</v>
      </c>
      <c r="BH11" s="5">
        <f>BH4+BH5-BH6-BH7-BH8-BH9-BH10</f>
        <v>92785.069999999992</v>
      </c>
      <c r="BI11" s="5">
        <f>BI4+BI5-BI6-BI7-BI8-BI9-BI10</f>
        <v>85361.555562000009</v>
      </c>
    </row>
    <row r="12" spans="1:61" x14ac:dyDescent="0.25">
      <c r="H12" s="9"/>
      <c r="O12" s="9"/>
      <c r="V12" s="9"/>
      <c r="AK12" s="21"/>
      <c r="BE12" s="2"/>
      <c r="BF12" s="2"/>
      <c r="BG12" s="2"/>
      <c r="BH12" s="2"/>
      <c r="BI12" s="2"/>
    </row>
    <row r="13" spans="1:61" x14ac:dyDescent="0.25">
      <c r="A13" t="s">
        <v>12</v>
      </c>
      <c r="B13" t="s">
        <v>3</v>
      </c>
      <c r="C13" s="2">
        <v>43958</v>
      </c>
      <c r="D13" s="2">
        <v>26753</v>
      </c>
      <c r="E13" s="2">
        <v>18609</v>
      </c>
      <c r="F13" s="2">
        <v>21476</v>
      </c>
      <c r="G13" s="2">
        <v>41040.438999999998</v>
      </c>
      <c r="H13" s="10">
        <f>G13/G$20</f>
        <v>0.49090700232918294</v>
      </c>
      <c r="J13" s="3">
        <v>89.38</v>
      </c>
      <c r="K13" s="3">
        <v>50.45</v>
      </c>
      <c r="L13" s="3">
        <v>24.191699999999997</v>
      </c>
      <c r="M13" s="3">
        <v>27.92</v>
      </c>
      <c r="N13" s="3">
        <v>80.497745299999991</v>
      </c>
      <c r="O13" s="10">
        <f>N13/N$20</f>
        <v>0.4924214177193918</v>
      </c>
      <c r="Q13" s="12" t="s">
        <v>17</v>
      </c>
      <c r="R13" s="12" t="s">
        <v>17</v>
      </c>
      <c r="S13" s="3">
        <v>26.61</v>
      </c>
      <c r="T13" s="3">
        <v>30.71</v>
      </c>
      <c r="U13" s="3">
        <v>85.046189889999994</v>
      </c>
      <c r="V13" s="10">
        <f>U13/U$20</f>
        <v>0.49374314413592868</v>
      </c>
      <c r="X13" s="2">
        <f>IF(ISNUMBER(J13/C13),J13/C13*10^6,"")</f>
        <v>2033.3045179489511</v>
      </c>
      <c r="Y13" s="2">
        <f t="shared" ref="Y13:Y20" si="61">IF(ISNUMBER(K13/D13),K13/D13*10^6,"")</f>
        <v>1885.7698202070796</v>
      </c>
      <c r="Z13" s="2">
        <f t="shared" ref="Z13:Z20" si="62">IF(ISNUMBER(L13/E13),L13/E13*10^6,"")</f>
        <v>1300</v>
      </c>
      <c r="AA13" s="2">
        <f t="shared" ref="AA13:AA20" si="63">IF(ISNUMBER(M13/F13),M13/F13*10^6,"")</f>
        <v>1300.0558763270628</v>
      </c>
      <c r="AB13" s="2">
        <f t="shared" ref="AB13:AB20" si="64">IF(ISNUMBER(N13/G13),N13/G13*10^6,"")</f>
        <v>1961.4250544444712</v>
      </c>
      <c r="AC13" s="16">
        <f>AVERAGE(X13:AB13)</f>
        <v>1696.1110537855129</v>
      </c>
      <c r="AE13" s="2" t="str">
        <f>IF(ISNUMBER(Q13/C13),Q13/C13*10^6,"")</f>
        <v/>
      </c>
      <c r="AF13" s="2" t="str">
        <f t="shared" ref="AF13:AF20" si="65">IF(ISNUMBER(R13/D13),R13/D13*10^6,"")</f>
        <v/>
      </c>
      <c r="AG13" s="2">
        <f t="shared" ref="AG13:AG20" si="66">IF(ISNUMBER(S13/E13),S13/E13*10^6,"")</f>
        <v>1429.9532484281799</v>
      </c>
      <c r="AH13" s="2">
        <f t="shared" ref="AH13:AH20" si="67">IF(ISNUMBER(T13/F13),T13/F13*10^6,"")</f>
        <v>1429.9683367479977</v>
      </c>
      <c r="AI13" s="2">
        <f t="shared" ref="AI13:AI20" si="68">IF(ISNUMBER(U13/G13),U13/G13*10^6,"")</f>
        <v>2072.2534154666328</v>
      </c>
      <c r="AJ13" s="16">
        <f>AVERAGE(AE13:AI13)</f>
        <v>1644.0583335476033</v>
      </c>
      <c r="AK13" s="33">
        <f>AJ13/AVERAGE(Z13:AB13)</f>
        <v>1.0812661667333938</v>
      </c>
      <c r="AM13" s="18">
        <f>J13*$AK13</f>
        <v>96.643569982630737</v>
      </c>
      <c r="AN13" s="18">
        <f>K13*$AK13</f>
        <v>54.549878111699719</v>
      </c>
      <c r="AO13" s="3">
        <f>S13</f>
        <v>26.61</v>
      </c>
      <c r="AP13" s="3">
        <f>T13</f>
        <v>30.71</v>
      </c>
      <c r="AQ13" s="3">
        <f>U13</f>
        <v>85.046189889999994</v>
      </c>
      <c r="AS13" s="3">
        <f>J13</f>
        <v>89.38</v>
      </c>
      <c r="AT13" s="3">
        <f t="shared" ref="AS13:AV19" si="69">K13</f>
        <v>50.45</v>
      </c>
      <c r="AU13" s="3">
        <f t="shared" ref="AU13:AU15" si="70">L13</f>
        <v>24.191699999999997</v>
      </c>
      <c r="AV13" s="3">
        <f t="shared" ref="AV13:AV15" si="71">M13</f>
        <v>27.92</v>
      </c>
      <c r="AW13" s="3">
        <f t="shared" ref="AW13:AW19" si="72">N13</f>
        <v>80.497745299999991</v>
      </c>
      <c r="AY13" s="34">
        <f>IF(AS13=0,IF(AM13=0,"","Error"),AM13/AS13)</f>
        <v>1.0812661667333938</v>
      </c>
      <c r="AZ13" s="34">
        <f t="shared" ref="AZ13:AZ20" si="73">IF(AT13=0,IF(AN13=0,"","Error"),AN13/AT13)</f>
        <v>1.0812661667333938</v>
      </c>
      <c r="BA13" s="34">
        <f t="shared" ref="BA13:BA20" si="74">IF(AU13=0,IF(AO13=0,"","Error"),AO13/AU13)</f>
        <v>1.0999640372524462</v>
      </c>
      <c r="BB13" s="34">
        <f t="shared" ref="BB13:BB20" si="75">IF(AV13=0,IF(AP13=0,"","Error"),AP13/AV13)</f>
        <v>1.0999283667621775</v>
      </c>
      <c r="BC13" s="34">
        <f t="shared" ref="BC13:BC20" si="76">IF(AW13=0,IF(AQ13=0,"","Error"),AQ13/AW13)</f>
        <v>1.0565039998704162</v>
      </c>
      <c r="BE13" s="2">
        <f>C13</f>
        <v>43958</v>
      </c>
      <c r="BF13" s="2">
        <f t="shared" ref="BF13:BI13" si="77">D13</f>
        <v>26753</v>
      </c>
      <c r="BG13" s="2">
        <f t="shared" si="77"/>
        <v>18609</v>
      </c>
      <c r="BH13" s="2">
        <f t="shared" si="77"/>
        <v>21476</v>
      </c>
      <c r="BI13" s="2">
        <f t="shared" si="77"/>
        <v>41040.438999999998</v>
      </c>
    </row>
    <row r="14" spans="1:61" x14ac:dyDescent="0.25">
      <c r="A14" t="s">
        <v>12</v>
      </c>
      <c r="B14" t="s">
        <v>4</v>
      </c>
      <c r="C14" s="2">
        <v>56320</v>
      </c>
      <c r="D14" s="2">
        <v>65880</v>
      </c>
      <c r="E14" s="2">
        <v>54609.076999999997</v>
      </c>
      <c r="F14" s="2">
        <v>65046</v>
      </c>
      <c r="G14" s="2">
        <v>65672.326184000005</v>
      </c>
      <c r="H14" s="10">
        <f>G14/G$20</f>
        <v>0.78554239595175268</v>
      </c>
      <c r="J14" s="3">
        <v>103.32</v>
      </c>
      <c r="K14" s="3">
        <v>124.32999999999998</v>
      </c>
      <c r="L14" s="3">
        <v>110.61048805</v>
      </c>
      <c r="M14" s="3">
        <v>127.49</v>
      </c>
      <c r="N14" s="3">
        <v>125.3162183531</v>
      </c>
      <c r="O14" s="10">
        <f>N14/N$20</f>
        <v>0.76658532080235009</v>
      </c>
      <c r="Q14" s="12" t="s">
        <v>17</v>
      </c>
      <c r="R14" s="12" t="s">
        <v>17</v>
      </c>
      <c r="S14" s="12">
        <f>S5-S32-S41-S23</f>
        <v>116.42000000000003</v>
      </c>
      <c r="T14" s="3">
        <v>134.62</v>
      </c>
      <c r="U14" s="3">
        <v>132.45539724654998</v>
      </c>
      <c r="V14" s="10">
        <f>U14/U$20</f>
        <v>0.7689814720550443</v>
      </c>
      <c r="X14" s="2">
        <f t="shared" ref="X14:X20" si="78">IF(ISNUMBER(J14/C14),J14/C14*10^6,"")</f>
        <v>1834.5170454545455</v>
      </c>
      <c r="Y14" s="2">
        <f t="shared" si="61"/>
        <v>1887.219186399514</v>
      </c>
      <c r="Z14" s="2">
        <f t="shared" si="62"/>
        <v>2025.4963849691142</v>
      </c>
      <c r="AA14" s="2">
        <f t="shared" si="63"/>
        <v>1959.9975402023185</v>
      </c>
      <c r="AB14" s="2">
        <f t="shared" si="64"/>
        <v>1908.2043477794648</v>
      </c>
      <c r="AC14" s="16">
        <f t="shared" ref="AC14:AC20" si="79">AVERAGE(X14:AB14)</f>
        <v>1923.0869009609912</v>
      </c>
      <c r="AE14" s="2" t="str">
        <f t="shared" ref="AE14:AE20" si="80">IF(ISNUMBER(Q14/C14),Q14/C14*10^6,"")</f>
        <v/>
      </c>
      <c r="AF14" s="2" t="str">
        <f t="shared" si="65"/>
        <v/>
      </c>
      <c r="AG14" s="2">
        <f t="shared" si="66"/>
        <v>2131.8800169429715</v>
      </c>
      <c r="AH14" s="2">
        <f t="shared" si="67"/>
        <v>2069.6122743904316</v>
      </c>
      <c r="AI14" s="2">
        <f t="shared" si="68"/>
        <v>2016.9134389337435</v>
      </c>
      <c r="AJ14" s="16">
        <f t="shared" ref="AJ14:AJ20" si="81">AVERAGE(AE14:AI14)</f>
        <v>2072.8019100890488</v>
      </c>
      <c r="AK14" s="33">
        <f>AJ14/AVERAGE(Z14:AB14)</f>
        <v>1.0550940075786528</v>
      </c>
      <c r="AM14" s="18">
        <f t="shared" ref="AM14:AM15" si="82">J14*$AK14</f>
        <v>109.01231286302639</v>
      </c>
      <c r="AN14" s="18">
        <f t="shared" ref="AN14:AN15" si="83">K14*$AK14</f>
        <v>131.17983796225388</v>
      </c>
      <c r="AO14" s="3">
        <f t="shared" ref="AN14:AQ20" si="84">S14</f>
        <v>116.42000000000003</v>
      </c>
      <c r="AP14" s="3">
        <f t="shared" si="84"/>
        <v>134.62</v>
      </c>
      <c r="AQ14" s="3">
        <f t="shared" si="84"/>
        <v>132.45539724654998</v>
      </c>
      <c r="AS14" s="3">
        <f t="shared" ref="AS14:AS15" si="85">J14</f>
        <v>103.32</v>
      </c>
      <c r="AT14" s="3">
        <f t="shared" si="69"/>
        <v>124.32999999999998</v>
      </c>
      <c r="AU14" s="3">
        <f t="shared" si="70"/>
        <v>110.61048805</v>
      </c>
      <c r="AV14" s="3">
        <f t="shared" si="71"/>
        <v>127.49</v>
      </c>
      <c r="AW14" s="3">
        <f t="shared" si="72"/>
        <v>125.3162183531</v>
      </c>
      <c r="AY14" s="34">
        <f t="shared" ref="AY14:AY20" si="86">IF(AS14=0,IF(AM14=0,"","Error"),AM14/AS14)</f>
        <v>1.0550940075786528</v>
      </c>
      <c r="AZ14" s="34">
        <f t="shared" si="73"/>
        <v>1.0550940075786528</v>
      </c>
      <c r="BA14" s="34">
        <f t="shared" si="74"/>
        <v>1.0525222522060831</v>
      </c>
      <c r="BB14" s="34">
        <f t="shared" si="75"/>
        <v>1.0559259549768609</v>
      </c>
      <c r="BC14" s="34">
        <f t="shared" si="76"/>
        <v>1.0569693132083999</v>
      </c>
      <c r="BE14" s="2">
        <f t="shared" ref="BE14:BE19" si="87">C14</f>
        <v>56320</v>
      </c>
      <c r="BF14" s="2">
        <f t="shared" ref="BF14:BF19" si="88">D14</f>
        <v>65880</v>
      </c>
      <c r="BG14" s="2">
        <f t="shared" ref="BG14:BG19" si="89">E14</f>
        <v>54609.076999999997</v>
      </c>
      <c r="BH14" s="2">
        <f t="shared" ref="BH14:BH19" si="90">F14</f>
        <v>65046</v>
      </c>
      <c r="BI14" s="2">
        <f t="shared" ref="BI14:BI19" si="91">G14</f>
        <v>65672.326184000005</v>
      </c>
    </row>
    <row r="15" spans="1:61" x14ac:dyDescent="0.25">
      <c r="A15" t="s">
        <v>12</v>
      </c>
      <c r="B15" t="s">
        <v>5</v>
      </c>
      <c r="C15" s="2">
        <v>21750</v>
      </c>
      <c r="D15" s="2">
        <v>18105</v>
      </c>
      <c r="E15" s="2">
        <v>14811.456600000001</v>
      </c>
      <c r="F15" s="2">
        <v>18887</v>
      </c>
      <c r="G15" s="2">
        <v>21158.201785999998</v>
      </c>
      <c r="H15" s="10">
        <f>-G15/G$20</f>
        <v>-0.25308475412363945</v>
      </c>
      <c r="J15" s="3">
        <v>36.22</v>
      </c>
      <c r="K15" s="3">
        <v>31.029999999999994</v>
      </c>
      <c r="L15" s="3">
        <v>23.889743272500002</v>
      </c>
      <c r="M15" s="3">
        <v>30.199999999999996</v>
      </c>
      <c r="N15" s="3">
        <v>37.050493020499999</v>
      </c>
      <c r="O15" s="10">
        <f>-N15/N$20</f>
        <v>-0.22664555674650733</v>
      </c>
      <c r="Q15" s="12" t="s">
        <v>17</v>
      </c>
      <c r="R15" s="12" t="s">
        <v>17</v>
      </c>
      <c r="S15" s="12">
        <f>S6-S33-S42-S24</f>
        <v>25.210000000000004</v>
      </c>
      <c r="T15" s="3">
        <v>31.759999999999994</v>
      </c>
      <c r="U15" s="3">
        <v>38.812908298419998</v>
      </c>
      <c r="V15" s="10">
        <f>-U15/U$20</f>
        <v>-0.22533175679131379</v>
      </c>
      <c r="X15" s="2">
        <f t="shared" si="78"/>
        <v>1665.2873563218391</v>
      </c>
      <c r="Y15" s="2">
        <f t="shared" si="61"/>
        <v>1713.8911902789282</v>
      </c>
      <c r="Z15" s="2">
        <f t="shared" si="62"/>
        <v>1612.9232875381076</v>
      </c>
      <c r="AA15" s="2">
        <f t="shared" si="63"/>
        <v>1598.9834277545399</v>
      </c>
      <c r="AB15" s="2">
        <f t="shared" si="64"/>
        <v>1751.1172922556984</v>
      </c>
      <c r="AC15" s="16">
        <f t="shared" si="79"/>
        <v>1668.4405108298226</v>
      </c>
      <c r="AE15" s="2" t="str">
        <f t="shared" si="80"/>
        <v/>
      </c>
      <c r="AF15" s="2" t="str">
        <f t="shared" si="65"/>
        <v/>
      </c>
      <c r="AG15" s="2">
        <f t="shared" si="66"/>
        <v>1702.0608222961678</v>
      </c>
      <c r="AH15" s="2">
        <f t="shared" si="67"/>
        <v>1681.5799226981519</v>
      </c>
      <c r="AI15" s="2">
        <f t="shared" si="68"/>
        <v>1834.414317955026</v>
      </c>
      <c r="AJ15" s="16">
        <f t="shared" si="81"/>
        <v>1739.3516876497822</v>
      </c>
      <c r="AK15" s="33">
        <f>AJ15/AVERAGE(Z15:AB15)</f>
        <v>1.0513862223944757</v>
      </c>
      <c r="AM15" s="18">
        <f t="shared" si="82"/>
        <v>38.081208975127907</v>
      </c>
      <c r="AN15" s="18">
        <f t="shared" si="83"/>
        <v>32.624514480900572</v>
      </c>
      <c r="AO15" s="3">
        <f t="shared" si="84"/>
        <v>25.210000000000004</v>
      </c>
      <c r="AP15" s="3">
        <f t="shared" si="84"/>
        <v>31.759999999999994</v>
      </c>
      <c r="AQ15" s="3">
        <f t="shared" si="84"/>
        <v>38.812908298419998</v>
      </c>
      <c r="AS15" s="3">
        <f t="shared" si="85"/>
        <v>36.22</v>
      </c>
      <c r="AT15" s="3">
        <f t="shared" si="69"/>
        <v>31.029999999999994</v>
      </c>
      <c r="AU15" s="3">
        <f t="shared" si="70"/>
        <v>23.889743272500002</v>
      </c>
      <c r="AV15" s="3">
        <f t="shared" si="71"/>
        <v>30.199999999999996</v>
      </c>
      <c r="AW15" s="3">
        <f t="shared" si="72"/>
        <v>37.050493020499999</v>
      </c>
      <c r="AY15" s="34">
        <f t="shared" si="86"/>
        <v>1.0513862223944757</v>
      </c>
      <c r="AZ15" s="34">
        <f t="shared" si="73"/>
        <v>1.0513862223944757</v>
      </c>
      <c r="BA15" s="34">
        <f t="shared" si="74"/>
        <v>1.0552645841539778</v>
      </c>
      <c r="BB15" s="34">
        <f t="shared" si="75"/>
        <v>1.0516556291390728</v>
      </c>
      <c r="BC15" s="34">
        <f t="shared" si="76"/>
        <v>1.0475679305251042</v>
      </c>
      <c r="BE15" s="2">
        <f t="shared" si="87"/>
        <v>21750</v>
      </c>
      <c r="BF15" s="2">
        <f t="shared" si="88"/>
        <v>18105</v>
      </c>
      <c r="BG15" s="2">
        <f t="shared" si="89"/>
        <v>14811.456600000001</v>
      </c>
      <c r="BH15" s="2">
        <f t="shared" si="90"/>
        <v>18887</v>
      </c>
      <c r="BI15" s="2">
        <f t="shared" si="91"/>
        <v>21158.201785999998</v>
      </c>
    </row>
    <row r="16" spans="1:61" x14ac:dyDescent="0.25">
      <c r="A16" t="s">
        <v>12</v>
      </c>
      <c r="B16" t="s">
        <v>6</v>
      </c>
      <c r="C16" s="13">
        <v>760.64</v>
      </c>
      <c r="D16" s="13">
        <v>0</v>
      </c>
      <c r="E16" s="12" t="s">
        <v>16</v>
      </c>
      <c r="F16" s="13">
        <f>510.8</f>
        <v>510.8</v>
      </c>
      <c r="G16" s="2">
        <v>280</v>
      </c>
      <c r="H16" s="10">
        <f>-G16/G$20</f>
        <v>-3.3492322207413824E-3</v>
      </c>
      <c r="J16" s="12" t="s">
        <v>17</v>
      </c>
      <c r="K16" s="13">
        <v>0</v>
      </c>
      <c r="L16" s="12" t="s">
        <v>16</v>
      </c>
      <c r="M16" s="12">
        <f>2.97</f>
        <v>2.97</v>
      </c>
      <c r="N16" s="3">
        <v>3.36</v>
      </c>
      <c r="O16" s="10">
        <f>-N16/N$20</f>
        <v>-2.055381746868824E-2</v>
      </c>
      <c r="Q16" s="12" t="s">
        <v>17</v>
      </c>
      <c r="R16" s="13">
        <v>0</v>
      </c>
      <c r="S16" s="12" t="s">
        <v>16</v>
      </c>
      <c r="T16" s="12" t="s">
        <v>17</v>
      </c>
      <c r="U16" s="3">
        <v>4.1440000000000001</v>
      </c>
      <c r="V16" s="10">
        <f>-U16/U$20</f>
        <v>-2.4058356899300345E-2</v>
      </c>
      <c r="X16" s="2" t="str">
        <f t="shared" si="78"/>
        <v/>
      </c>
      <c r="Y16" s="2" t="str">
        <f t="shared" si="61"/>
        <v/>
      </c>
      <c r="Z16" s="2" t="str">
        <f t="shared" si="62"/>
        <v/>
      </c>
      <c r="AA16" s="2">
        <f t="shared" si="63"/>
        <v>5814.4087705559905</v>
      </c>
      <c r="AB16" s="2">
        <f t="shared" si="64"/>
        <v>12000</v>
      </c>
      <c r="AC16" s="16">
        <f t="shared" si="79"/>
        <v>8907.2043852779952</v>
      </c>
      <c r="AE16" s="2" t="str">
        <f t="shared" si="80"/>
        <v/>
      </c>
      <c r="AF16" s="2" t="str">
        <f t="shared" si="65"/>
        <v/>
      </c>
      <c r="AG16" s="2" t="str">
        <f t="shared" si="66"/>
        <v/>
      </c>
      <c r="AH16" s="2" t="str">
        <f t="shared" si="67"/>
        <v/>
      </c>
      <c r="AI16" s="2">
        <f t="shared" si="68"/>
        <v>14800</v>
      </c>
      <c r="AJ16" s="16">
        <f t="shared" si="81"/>
        <v>14800</v>
      </c>
      <c r="AK16" s="33">
        <f>AJ16/AB16</f>
        <v>1.2333333333333334</v>
      </c>
      <c r="AM16" s="18">
        <f t="shared" ref="AM16:AO16" si="92">AS16*$AK16</f>
        <v>5.4546286609240413</v>
      </c>
      <c r="AN16" s="18">
        <f t="shared" si="92"/>
        <v>0</v>
      </c>
      <c r="AO16" s="18">
        <f t="shared" si="92"/>
        <v>4.2602095536413476</v>
      </c>
      <c r="AP16" s="18">
        <f>AV16*$AK16</f>
        <v>3.6630000000000003</v>
      </c>
      <c r="AQ16" s="3">
        <f t="shared" si="84"/>
        <v>4.1440000000000001</v>
      </c>
      <c r="AS16" s="24">
        <f>C16/F16*AV16</f>
        <v>4.4226718872357091</v>
      </c>
      <c r="AT16" s="3">
        <f t="shared" si="69"/>
        <v>0</v>
      </c>
      <c r="AU16" s="24">
        <f>(AV16-AS16)/3*2+AS16</f>
        <v>3.4542239624119033</v>
      </c>
      <c r="AV16" s="3">
        <f t="shared" si="69"/>
        <v>2.97</v>
      </c>
      <c r="AW16" s="3">
        <f t="shared" si="72"/>
        <v>3.36</v>
      </c>
      <c r="AY16" s="34">
        <f t="shared" si="86"/>
        <v>1.2333333333333334</v>
      </c>
      <c r="AZ16" s="34" t="str">
        <f t="shared" si="73"/>
        <v/>
      </c>
      <c r="BA16" s="34">
        <f t="shared" si="74"/>
        <v>1.2333333333333334</v>
      </c>
      <c r="BB16" s="34">
        <f t="shared" si="75"/>
        <v>1.2333333333333334</v>
      </c>
      <c r="BC16" s="34">
        <f t="shared" si="76"/>
        <v>1.2333333333333334</v>
      </c>
      <c r="BE16" s="2">
        <f t="shared" si="87"/>
        <v>760.64</v>
      </c>
      <c r="BF16" s="2">
        <f t="shared" si="88"/>
        <v>0</v>
      </c>
      <c r="BG16" s="37">
        <f>(BH16-BE16)/3*2+BE16</f>
        <v>594.08000000000004</v>
      </c>
      <c r="BH16" s="2">
        <f t="shared" si="90"/>
        <v>510.8</v>
      </c>
      <c r="BI16" s="2">
        <f t="shared" si="91"/>
        <v>280</v>
      </c>
    </row>
    <row r="17" spans="1:61" x14ac:dyDescent="0.25">
      <c r="A17" t="s">
        <v>12</v>
      </c>
      <c r="B17" t="s">
        <v>7</v>
      </c>
      <c r="C17" s="13">
        <v>9</v>
      </c>
      <c r="D17" s="13">
        <v>2</v>
      </c>
      <c r="E17" s="13" t="s">
        <v>16</v>
      </c>
      <c r="F17" s="13">
        <v>1340</v>
      </c>
      <c r="G17" s="2">
        <v>1453.53</v>
      </c>
      <c r="H17" s="10">
        <f>-G17/G$20</f>
        <v>-1.738646253505079E-2</v>
      </c>
      <c r="J17" s="12">
        <v>0.11</v>
      </c>
      <c r="K17" s="12">
        <v>0.01</v>
      </c>
      <c r="L17" s="12" t="s">
        <v>16</v>
      </c>
      <c r="M17" s="12">
        <v>0.47</v>
      </c>
      <c r="N17" s="3">
        <v>0.17442360000000001</v>
      </c>
      <c r="O17" s="10">
        <f>-N17/N$20</f>
        <v>-1.0669853680450863E-3</v>
      </c>
      <c r="Q17" s="12" t="s">
        <v>17</v>
      </c>
      <c r="R17" s="12">
        <v>1.0999999999999999E-2</v>
      </c>
      <c r="S17" s="12" t="s">
        <v>16</v>
      </c>
      <c r="T17" s="12" t="s">
        <v>17</v>
      </c>
      <c r="U17" s="3">
        <v>0.18023771999999999</v>
      </c>
      <c r="V17" s="10">
        <f>-U17/U$20</f>
        <v>-1.0463859542654834E-3</v>
      </c>
      <c r="X17" s="2">
        <f t="shared" si="78"/>
        <v>12222.222222222223</v>
      </c>
      <c r="Y17" s="2">
        <f t="shared" si="61"/>
        <v>5000</v>
      </c>
      <c r="Z17" s="2" t="str">
        <f t="shared" si="62"/>
        <v/>
      </c>
      <c r="AA17" s="2">
        <f t="shared" si="63"/>
        <v>350.74626865671638</v>
      </c>
      <c r="AB17" s="2">
        <f t="shared" si="64"/>
        <v>120.00000000000001</v>
      </c>
      <c r="AC17" s="16">
        <f t="shared" si="79"/>
        <v>4423.2421227197347</v>
      </c>
      <c r="AE17" s="2" t="str">
        <f t="shared" si="80"/>
        <v/>
      </c>
      <c r="AF17" s="2">
        <f t="shared" si="65"/>
        <v>5500</v>
      </c>
      <c r="AG17" s="2" t="str">
        <f t="shared" si="66"/>
        <v/>
      </c>
      <c r="AH17" s="2" t="str">
        <f t="shared" si="67"/>
        <v/>
      </c>
      <c r="AI17" s="2">
        <f t="shared" si="68"/>
        <v>124</v>
      </c>
      <c r="AJ17" s="16">
        <f t="shared" si="81"/>
        <v>2812</v>
      </c>
      <c r="AK17" s="33">
        <f>AJ17/AVERAGE(AB17,Y17)</f>
        <v>1.0984375</v>
      </c>
      <c r="AM17" s="18">
        <f>AS17*$AK17</f>
        <v>0.12082812499999999</v>
      </c>
      <c r="AN17" s="3">
        <f>R17</f>
        <v>1.0999999999999999E-2</v>
      </c>
      <c r="AO17" s="18">
        <f>AU17*$AK17</f>
        <v>0.31854687499999995</v>
      </c>
      <c r="AP17" s="18">
        <f>AV17*$AK17</f>
        <v>0.51626562499999995</v>
      </c>
      <c r="AQ17" s="3">
        <f t="shared" si="84"/>
        <v>0.18023771999999999</v>
      </c>
      <c r="AS17" s="3">
        <f t="shared" si="69"/>
        <v>0.11</v>
      </c>
      <c r="AT17" s="3">
        <f t="shared" si="69"/>
        <v>0.01</v>
      </c>
      <c r="AU17" s="24">
        <f>(AV17+AS17)/2</f>
        <v>0.28999999999999998</v>
      </c>
      <c r="AV17" s="3">
        <f t="shared" si="69"/>
        <v>0.47</v>
      </c>
      <c r="AW17" s="3">
        <f t="shared" si="72"/>
        <v>0.17442360000000001</v>
      </c>
      <c r="AY17" s="34">
        <f t="shared" si="86"/>
        <v>1.0984375</v>
      </c>
      <c r="AZ17" s="34">
        <f t="shared" si="73"/>
        <v>1.0999999999999999</v>
      </c>
      <c r="BA17" s="34">
        <f t="shared" si="74"/>
        <v>1.0984375</v>
      </c>
      <c r="BB17" s="34">
        <f t="shared" si="75"/>
        <v>1.0984375</v>
      </c>
      <c r="BC17" s="34">
        <f t="shared" si="76"/>
        <v>1.0333333333333332</v>
      </c>
      <c r="BE17" s="2">
        <f t="shared" si="87"/>
        <v>9</v>
      </c>
      <c r="BF17" s="2">
        <f t="shared" si="88"/>
        <v>2</v>
      </c>
      <c r="BG17" s="37">
        <f>(BH17+BE17)/2</f>
        <v>674.5</v>
      </c>
      <c r="BH17" s="2">
        <f t="shared" si="90"/>
        <v>1340</v>
      </c>
      <c r="BI17" s="2">
        <f t="shared" si="91"/>
        <v>1453.53</v>
      </c>
    </row>
    <row r="18" spans="1:61" x14ac:dyDescent="0.25">
      <c r="A18" t="s">
        <v>12</v>
      </c>
      <c r="B18" t="s">
        <v>8</v>
      </c>
      <c r="C18" s="12" t="s">
        <v>16</v>
      </c>
      <c r="D18" s="13">
        <v>0</v>
      </c>
      <c r="E18" s="13">
        <f>32</f>
        <v>32</v>
      </c>
      <c r="F18" s="13">
        <f>110</f>
        <v>110</v>
      </c>
      <c r="G18" s="2">
        <v>145.48845600000001</v>
      </c>
      <c r="H18" s="10">
        <f>-G18/G$20</f>
        <v>-1.7402665163611247E-3</v>
      </c>
      <c r="J18" s="12" t="s">
        <v>16</v>
      </c>
      <c r="K18" s="13">
        <v>0</v>
      </c>
      <c r="L18" s="12">
        <f>0.1</f>
        <v>0.1</v>
      </c>
      <c r="M18" s="12">
        <f>1.04</f>
        <v>1.04</v>
      </c>
      <c r="N18" s="3">
        <v>1.5378382453999999</v>
      </c>
      <c r="O18" s="10">
        <f>-N18/N$20</f>
        <v>-9.4072757715236276E-3</v>
      </c>
      <c r="Q18" s="12" t="s">
        <v>16</v>
      </c>
      <c r="R18" s="13">
        <v>0</v>
      </c>
      <c r="S18" s="12" t="s">
        <v>17</v>
      </c>
      <c r="T18" s="12" t="s">
        <v>17</v>
      </c>
      <c r="U18" s="3">
        <v>1.8902213826999998</v>
      </c>
      <c r="V18" s="10">
        <f>-U18/U$20</f>
        <v>-1.0973846680426056E-2</v>
      </c>
      <c r="X18" s="2" t="str">
        <f t="shared" si="78"/>
        <v/>
      </c>
      <c r="Y18" s="2" t="str">
        <f t="shared" si="61"/>
        <v/>
      </c>
      <c r="Z18" s="2">
        <f t="shared" si="62"/>
        <v>3125</v>
      </c>
      <c r="AA18" s="2">
        <f t="shared" si="63"/>
        <v>9454.5454545454559</v>
      </c>
      <c r="AB18" s="2">
        <f t="shared" si="64"/>
        <v>10570.173659688848</v>
      </c>
      <c r="AC18" s="16">
        <f t="shared" si="79"/>
        <v>7716.5730380781015</v>
      </c>
      <c r="AE18" s="2" t="str">
        <f t="shared" si="80"/>
        <v/>
      </c>
      <c r="AF18" s="2" t="str">
        <f t="shared" si="65"/>
        <v/>
      </c>
      <c r="AG18" s="2" t="str">
        <f t="shared" si="66"/>
        <v/>
      </c>
      <c r="AH18" s="2" t="str">
        <f t="shared" si="67"/>
        <v/>
      </c>
      <c r="AI18" s="2">
        <f t="shared" si="68"/>
        <v>12992.243059476827</v>
      </c>
      <c r="AJ18" s="16">
        <f t="shared" si="81"/>
        <v>12992.243059476827</v>
      </c>
      <c r="AK18" s="33">
        <f>AJ18/AB18</f>
        <v>1.2291418738960695</v>
      </c>
      <c r="AM18" s="18">
        <f>AO18</f>
        <v>0.12291418738960697</v>
      </c>
      <c r="AN18" s="3">
        <f t="shared" si="84"/>
        <v>0</v>
      </c>
      <c r="AO18" s="18">
        <f>L18*$AK18</f>
        <v>0.12291418738960697</v>
      </c>
      <c r="AP18" s="18">
        <f>M18*$AK18</f>
        <v>1.2783075488519124</v>
      </c>
      <c r="AQ18" s="3">
        <f t="shared" si="84"/>
        <v>1.8902213826999998</v>
      </c>
      <c r="AS18" s="24">
        <f>AU18</f>
        <v>0.1</v>
      </c>
      <c r="AT18" s="3">
        <f t="shared" si="69"/>
        <v>0</v>
      </c>
      <c r="AU18" s="3">
        <f t="shared" si="69"/>
        <v>0.1</v>
      </c>
      <c r="AV18" s="3">
        <f t="shared" si="69"/>
        <v>1.04</v>
      </c>
      <c r="AW18" s="3">
        <f t="shared" si="72"/>
        <v>1.5378382453999999</v>
      </c>
      <c r="AY18" s="34">
        <f t="shared" si="86"/>
        <v>1.2291418738960695</v>
      </c>
      <c r="AZ18" s="34" t="str">
        <f t="shared" si="73"/>
        <v/>
      </c>
      <c r="BA18" s="34">
        <f t="shared" si="74"/>
        <v>1.2291418738960695</v>
      </c>
      <c r="BB18" s="34">
        <f t="shared" si="75"/>
        <v>1.2291418738960695</v>
      </c>
      <c r="BC18" s="34">
        <f t="shared" si="76"/>
        <v>1.2291418738960698</v>
      </c>
      <c r="BE18" s="37">
        <f>BG18</f>
        <v>32</v>
      </c>
      <c r="BF18" s="2">
        <f t="shared" si="88"/>
        <v>0</v>
      </c>
      <c r="BG18" s="2">
        <f t="shared" si="89"/>
        <v>32</v>
      </c>
      <c r="BH18" s="2">
        <f t="shared" si="90"/>
        <v>110</v>
      </c>
      <c r="BI18" s="2">
        <f t="shared" si="91"/>
        <v>145.48845600000001</v>
      </c>
    </row>
    <row r="19" spans="1:61" x14ac:dyDescent="0.25">
      <c r="A19" t="s">
        <v>12</v>
      </c>
      <c r="B19" t="s">
        <v>9</v>
      </c>
      <c r="C19" s="13">
        <f>17.46+0.57</f>
        <v>18.03</v>
      </c>
      <c r="D19" s="13">
        <f>25</f>
        <v>25</v>
      </c>
      <c r="E19" s="13">
        <f>20.54+23.11</f>
        <v>43.65</v>
      </c>
      <c r="F19" s="13">
        <f>67.13</f>
        <v>67.13</v>
      </c>
      <c r="G19" s="2">
        <v>74.295000000000002</v>
      </c>
      <c r="H19" s="10">
        <f>-G19/G$20</f>
        <v>-8.8868288514278926E-4</v>
      </c>
      <c r="J19" s="12" t="s">
        <v>17</v>
      </c>
      <c r="K19" s="12">
        <v>3.2500000000000001E-2</v>
      </c>
      <c r="L19" s="12">
        <f>0.03+0.08</f>
        <v>0.11</v>
      </c>
      <c r="M19" s="12">
        <f>0.24</f>
        <v>0.24</v>
      </c>
      <c r="N19" s="3">
        <v>0.21792674999999997</v>
      </c>
      <c r="O19" s="10">
        <f>-N19/N$20</f>
        <v>-1.3331031669775162E-3</v>
      </c>
      <c r="Q19" s="12" t="s">
        <v>17</v>
      </c>
      <c r="R19" s="12">
        <v>3.5750000000000004E-2</v>
      </c>
      <c r="S19" s="12" t="s">
        <v>17</v>
      </c>
      <c r="T19" s="12" t="s">
        <v>17</v>
      </c>
      <c r="U19" s="3">
        <v>0.226380145</v>
      </c>
      <c r="V19" s="10">
        <f>-U19/U$20</f>
        <v>-1.3142698656673172E-3</v>
      </c>
      <c r="X19" s="2" t="str">
        <f t="shared" si="78"/>
        <v/>
      </c>
      <c r="Y19" s="2">
        <f t="shared" si="61"/>
        <v>1300</v>
      </c>
      <c r="Z19" s="2">
        <f t="shared" si="62"/>
        <v>2520.0458190148915</v>
      </c>
      <c r="AA19" s="2">
        <f t="shared" si="63"/>
        <v>3575.1526888127514</v>
      </c>
      <c r="AB19" s="2">
        <f t="shared" si="64"/>
        <v>2933.2626690894404</v>
      </c>
      <c r="AC19" s="16">
        <f t="shared" si="79"/>
        <v>2582.1152942292711</v>
      </c>
      <c r="AE19" s="2" t="str">
        <f t="shared" si="80"/>
        <v/>
      </c>
      <c r="AF19" s="2">
        <f t="shared" si="65"/>
        <v>1430</v>
      </c>
      <c r="AG19" s="2" t="str">
        <f t="shared" si="66"/>
        <v/>
      </c>
      <c r="AH19" s="2" t="str">
        <f t="shared" si="67"/>
        <v/>
      </c>
      <c r="AI19" s="2">
        <f t="shared" si="68"/>
        <v>3047.0441483276127</v>
      </c>
      <c r="AJ19" s="16">
        <f t="shared" si="81"/>
        <v>2238.5220741638063</v>
      </c>
      <c r="AK19" s="33">
        <f>AJ19/AVERAGE(AB19,Y19)</f>
        <v>1.0575871374621337</v>
      </c>
      <c r="AM19" s="18">
        <f>AN19</f>
        <v>3.4371581967519348E-2</v>
      </c>
      <c r="AN19" s="18">
        <f t="shared" ref="AN19:AO19" si="93">K19*$AK19</f>
        <v>3.4371581967519348E-2</v>
      </c>
      <c r="AO19" s="18">
        <f t="shared" si="93"/>
        <v>0.11633458512083471</v>
      </c>
      <c r="AP19" s="18">
        <f>M19*$AK19</f>
        <v>0.25382091299091208</v>
      </c>
      <c r="AQ19" s="3">
        <f t="shared" si="84"/>
        <v>0.226380145</v>
      </c>
      <c r="AS19" s="24">
        <f>AT19</f>
        <v>3.2500000000000001E-2</v>
      </c>
      <c r="AT19" s="3">
        <f t="shared" si="69"/>
        <v>3.2500000000000001E-2</v>
      </c>
      <c r="AU19" s="3">
        <f t="shared" si="69"/>
        <v>0.11</v>
      </c>
      <c r="AV19" s="3">
        <f t="shared" si="69"/>
        <v>0.24</v>
      </c>
      <c r="AW19" s="3">
        <f t="shared" si="72"/>
        <v>0.21792674999999997</v>
      </c>
      <c r="AY19" s="34">
        <f t="shared" si="86"/>
        <v>1.0575871374621337</v>
      </c>
      <c r="AZ19" s="34">
        <f t="shared" si="73"/>
        <v>1.0575871374621337</v>
      </c>
      <c r="BA19" s="34">
        <f t="shared" si="74"/>
        <v>1.0575871374621337</v>
      </c>
      <c r="BB19" s="34">
        <f t="shared" si="75"/>
        <v>1.0575871374621337</v>
      </c>
      <c r="BC19" s="34">
        <f t="shared" si="76"/>
        <v>1.0387900751055115</v>
      </c>
      <c r="BE19" s="2">
        <f t="shared" si="87"/>
        <v>18.03</v>
      </c>
      <c r="BF19" s="2">
        <f t="shared" si="88"/>
        <v>25</v>
      </c>
      <c r="BG19" s="2">
        <f t="shared" si="89"/>
        <v>43.65</v>
      </c>
      <c r="BH19" s="2">
        <f t="shared" si="90"/>
        <v>67.13</v>
      </c>
      <c r="BI19" s="2">
        <f t="shared" si="91"/>
        <v>74.295000000000002</v>
      </c>
    </row>
    <row r="20" spans="1:61" x14ac:dyDescent="0.25">
      <c r="A20" s="4" t="s">
        <v>12</v>
      </c>
      <c r="B20" s="4" t="s">
        <v>10</v>
      </c>
      <c r="C20" s="5" t="e">
        <f t="shared" ref="C20:F20" si="94">C13+C14-C15-C16-C17-C18-C19</f>
        <v>#VALUE!</v>
      </c>
      <c r="D20" s="5">
        <f t="shared" si="94"/>
        <v>74501</v>
      </c>
      <c r="E20" s="5" t="e">
        <f t="shared" si="94"/>
        <v>#VALUE!</v>
      </c>
      <c r="F20" s="5">
        <f t="shared" si="94"/>
        <v>65607.069999999992</v>
      </c>
      <c r="G20" s="5">
        <f>G13+G14-G15-G16-G17-G18-G19</f>
        <v>83601.249941999995</v>
      </c>
      <c r="H20" s="11">
        <f>G20/G$20</f>
        <v>1</v>
      </c>
      <c r="I20" s="4"/>
      <c r="J20" s="6" t="e">
        <f t="shared" ref="J20:M20" si="95">J13+J14-J15-J16-J17-J18-J19</f>
        <v>#VALUE!</v>
      </c>
      <c r="K20" s="6">
        <f t="shared" si="95"/>
        <v>143.70749999999998</v>
      </c>
      <c r="L20" s="6" t="e">
        <f t="shared" si="95"/>
        <v>#VALUE!</v>
      </c>
      <c r="M20" s="6">
        <f t="shared" si="95"/>
        <v>120.49000000000001</v>
      </c>
      <c r="N20" s="6">
        <f>N13+N14-N15-N16-N17-N18-N19</f>
        <v>163.47328203719997</v>
      </c>
      <c r="O20" s="11">
        <f>N20/N$20</f>
        <v>1</v>
      </c>
      <c r="P20" s="4"/>
      <c r="Q20" s="6" t="e">
        <f t="shared" ref="Q20:T20" si="96">Q13+Q14-Q15-Q16-Q17-Q18-Q19</f>
        <v>#VALUE!</v>
      </c>
      <c r="R20" s="6" t="e">
        <f t="shared" si="96"/>
        <v>#VALUE!</v>
      </c>
      <c r="S20" s="6" t="e">
        <f t="shared" si="96"/>
        <v>#VALUE!</v>
      </c>
      <c r="T20" s="6" t="e">
        <f t="shared" si="96"/>
        <v>#VALUE!</v>
      </c>
      <c r="U20" s="6">
        <f>U13+U14-U15-U16-U17-U18-U19</f>
        <v>172.24783959042998</v>
      </c>
      <c r="V20" s="11">
        <f>U20/U$20</f>
        <v>1</v>
      </c>
      <c r="X20" s="5" t="str">
        <f t="shared" si="78"/>
        <v/>
      </c>
      <c r="Y20" s="5">
        <f t="shared" si="61"/>
        <v>1928.9338398142304</v>
      </c>
      <c r="Z20" s="5" t="str">
        <f t="shared" si="62"/>
        <v/>
      </c>
      <c r="AA20" s="5">
        <f t="shared" si="63"/>
        <v>1836.5398729130875</v>
      </c>
      <c r="AB20" s="5">
        <f t="shared" si="64"/>
        <v>1955.3927979619057</v>
      </c>
      <c r="AC20" s="17">
        <f t="shared" si="79"/>
        <v>1906.9555035630747</v>
      </c>
      <c r="AD20" s="4"/>
      <c r="AE20" s="5" t="str">
        <f t="shared" si="80"/>
        <v/>
      </c>
      <c r="AF20" s="5" t="str">
        <f t="shared" si="65"/>
        <v/>
      </c>
      <c r="AG20" s="5" t="str">
        <f t="shared" si="66"/>
        <v/>
      </c>
      <c r="AH20" s="5" t="str">
        <f t="shared" si="67"/>
        <v/>
      </c>
      <c r="AI20" s="5">
        <f t="shared" si="68"/>
        <v>2060.3500511048614</v>
      </c>
      <c r="AJ20" s="17">
        <f t="shared" si="81"/>
        <v>2060.3500511048614</v>
      </c>
      <c r="AK20" s="20">
        <f t="shared" ref="AK20" si="97">AJ20/AC20</f>
        <v>1.0804395001640965</v>
      </c>
      <c r="AM20" s="6">
        <f t="shared" ref="AM20:AP20" si="98">AM13+AM14-AM15-AM16-AM17-AM18-AM19</f>
        <v>161.84193131524805</v>
      </c>
      <c r="AN20" s="6">
        <f t="shared" si="98"/>
        <v>153.05983001108552</v>
      </c>
      <c r="AO20" s="6">
        <f t="shared" si="98"/>
        <v>113.00199479884823</v>
      </c>
      <c r="AP20" s="6">
        <f t="shared" si="98"/>
        <v>127.85860591315721</v>
      </c>
      <c r="AQ20" s="6">
        <f t="shared" si="84"/>
        <v>172.24783959042998</v>
      </c>
      <c r="AS20" s="6">
        <f t="shared" ref="AS20:AW20" si="99">AS13+AS14-AS15-AS16-AS17-AS18-AS19</f>
        <v>151.81482811276427</v>
      </c>
      <c r="AT20" s="6">
        <f t="shared" si="99"/>
        <v>143.70749999999998</v>
      </c>
      <c r="AU20" s="6">
        <f t="shared" si="99"/>
        <v>106.95822081508808</v>
      </c>
      <c r="AV20" s="6">
        <f t="shared" si="99"/>
        <v>120.49000000000001</v>
      </c>
      <c r="AW20" s="6">
        <f t="shared" si="99"/>
        <v>163.47328203719997</v>
      </c>
      <c r="AY20" s="35">
        <f t="shared" si="86"/>
        <v>1.0660482465852144</v>
      </c>
      <c r="AZ20" s="35">
        <f t="shared" si="73"/>
        <v>1.0650789277601067</v>
      </c>
      <c r="BA20" s="35">
        <f t="shared" si="74"/>
        <v>1.0565059322948982</v>
      </c>
      <c r="BB20" s="35">
        <f t="shared" si="75"/>
        <v>1.0611553316719826</v>
      </c>
      <c r="BC20" s="35">
        <f t="shared" si="76"/>
        <v>1.053675789975473</v>
      </c>
      <c r="BE20" s="5">
        <f t="shared" ref="BE20:BI20" si="100">BE13+BE14-BE15-BE16-BE17-BE18-BE19</f>
        <v>77708.33</v>
      </c>
      <c r="BF20" s="5">
        <f t="shared" si="100"/>
        <v>74501</v>
      </c>
      <c r="BG20" s="5">
        <f t="shared" si="100"/>
        <v>57062.390399999982</v>
      </c>
      <c r="BH20" s="5">
        <f t="shared" si="100"/>
        <v>65607.069999999992</v>
      </c>
      <c r="BI20" s="5">
        <f t="shared" si="100"/>
        <v>83601.249941999995</v>
      </c>
    </row>
    <row r="21" spans="1:61" x14ac:dyDescent="0.25">
      <c r="H21" s="9"/>
      <c r="O21" s="9"/>
      <c r="V21" s="9"/>
      <c r="AK21" s="21"/>
    </row>
    <row r="22" spans="1:61" x14ac:dyDescent="0.25">
      <c r="A22" t="s">
        <v>13</v>
      </c>
      <c r="B22" t="s">
        <v>3</v>
      </c>
      <c r="C22" s="14">
        <v>0</v>
      </c>
      <c r="D22" s="14">
        <v>0</v>
      </c>
      <c r="E22" s="14">
        <v>0</v>
      </c>
      <c r="F22" s="14">
        <v>0</v>
      </c>
      <c r="G22" s="2">
        <v>151.6</v>
      </c>
      <c r="H22" s="10">
        <f>G22/G$29</f>
        <v>0.50462413457460209</v>
      </c>
      <c r="J22" s="14">
        <v>0</v>
      </c>
      <c r="K22" s="14">
        <v>0</v>
      </c>
      <c r="L22" s="14">
        <v>0</v>
      </c>
      <c r="M22" s="14">
        <v>0</v>
      </c>
      <c r="N22" s="3">
        <v>1.3418399999999999</v>
      </c>
      <c r="O22" s="10">
        <f>N22/N$29</f>
        <v>0.46301513921067194</v>
      </c>
      <c r="Q22" s="14">
        <v>0</v>
      </c>
      <c r="R22" s="14">
        <v>0</v>
      </c>
      <c r="S22" s="14">
        <v>0</v>
      </c>
      <c r="T22" s="14">
        <v>0</v>
      </c>
      <c r="U22" s="3">
        <v>1.383372</v>
      </c>
      <c r="V22" s="10">
        <f>U22/U$29</f>
        <v>0.4498732484434686</v>
      </c>
      <c r="X22" s="2" t="str">
        <f>IF(ISNUMBER(J22/C22),J22/C22*10^6,"")</f>
        <v/>
      </c>
      <c r="Y22" s="2" t="str">
        <f t="shared" ref="Y22:Y29" si="101">IF(ISNUMBER(K22/D22),K22/D22*10^6,"")</f>
        <v/>
      </c>
      <c r="Z22" s="2" t="str">
        <f t="shared" ref="Z22:Z29" si="102">IF(ISNUMBER(L22/E22),L22/E22*10^6,"")</f>
        <v/>
      </c>
      <c r="AA22" s="2" t="str">
        <f t="shared" ref="AA22:AA29" si="103">IF(ISNUMBER(M22/F22),M22/F22*10^6,"")</f>
        <v/>
      </c>
      <c r="AB22" s="2">
        <f t="shared" ref="AB22:AB29" si="104">IF(ISNUMBER(N22/G22),N22/G22*10^6,"")</f>
        <v>8851.1873350923488</v>
      </c>
      <c r="AC22" s="16">
        <f>AVERAGE(X22:AB22)</f>
        <v>8851.1873350923488</v>
      </c>
      <c r="AE22" s="2" t="str">
        <f>IF(ISNUMBER(Q22/C22),Q22/C22*10^6,"")</f>
        <v/>
      </c>
      <c r="AF22" s="2" t="str">
        <f t="shared" ref="AF22:AF29" si="105">IF(ISNUMBER(R22/D22),R22/D22*10^6,"")</f>
        <v/>
      </c>
      <c r="AG22" s="2" t="str">
        <f t="shared" ref="AG22:AG29" si="106">IF(ISNUMBER(S22/E22),S22/E22*10^6,"")</f>
        <v/>
      </c>
      <c r="AH22" s="2" t="str">
        <f t="shared" ref="AH22:AH29" si="107">IF(ISNUMBER(T22/F22),T22/F22*10^6,"")</f>
        <v/>
      </c>
      <c r="AI22" s="2">
        <f t="shared" ref="AI22:AI29" si="108">IF(ISNUMBER(U22/G22),U22/G22*10^6,"")</f>
        <v>9125.1451187335097</v>
      </c>
      <c r="AJ22" s="16">
        <f>AVERAGE(AE22:AI22)</f>
        <v>9125.1451187335097</v>
      </c>
      <c r="AK22" s="19">
        <f>AJ22/AC22</f>
        <v>1.030951529243427</v>
      </c>
      <c r="AM22" s="3">
        <f t="shared" ref="AM22:AP22" si="109">Q22</f>
        <v>0</v>
      </c>
      <c r="AN22" s="3">
        <f t="shared" si="109"/>
        <v>0</v>
      </c>
      <c r="AO22" s="3">
        <f t="shared" si="109"/>
        <v>0</v>
      </c>
      <c r="AP22" s="3">
        <f t="shared" si="109"/>
        <v>0</v>
      </c>
      <c r="AQ22" s="3">
        <f>U22</f>
        <v>1.383372</v>
      </c>
      <c r="AS22" s="3">
        <f>J22</f>
        <v>0</v>
      </c>
      <c r="AT22" s="3">
        <f t="shared" ref="AT22:AT26" si="110">K22</f>
        <v>0</v>
      </c>
      <c r="AU22" s="3">
        <f t="shared" ref="AU22:AU26" si="111">L22</f>
        <v>0</v>
      </c>
      <c r="AV22" s="3">
        <f t="shared" ref="AV22:AV26" si="112">M22</f>
        <v>0</v>
      </c>
      <c r="AW22" s="3">
        <f t="shared" ref="AW22:AW28" si="113">N22</f>
        <v>1.3418399999999999</v>
      </c>
      <c r="AY22" s="34" t="str">
        <f>IF(AS22=0,IF(AM22=0,"","Error"),AM22/AS22)</f>
        <v/>
      </c>
      <c r="AZ22" s="34" t="str">
        <f t="shared" ref="AZ22:AZ29" si="114">IF(AT22=0,IF(AN22=0,"","Error"),AN22/AT22)</f>
        <v/>
      </c>
      <c r="BA22" s="34" t="str">
        <f t="shared" ref="BA22:BA29" si="115">IF(AU22=0,IF(AO22=0,"","Error"),AO22/AU22)</f>
        <v/>
      </c>
      <c r="BB22" s="34" t="str">
        <f t="shared" ref="BB22:BB29" si="116">IF(AV22=0,IF(AP22=0,"","Error"),AP22/AV22)</f>
        <v/>
      </c>
      <c r="BC22" s="34">
        <f t="shared" ref="BC22:BC29" si="117">IF(AW22=0,IF(AQ22=0,"","Error"),AQ22/AW22)</f>
        <v>1.030951529243427</v>
      </c>
      <c r="BE22" s="2">
        <f>C22</f>
        <v>0</v>
      </c>
      <c r="BF22" s="2">
        <f t="shared" ref="BF22:BF26" si="118">D22</f>
        <v>0</v>
      </c>
      <c r="BG22" s="2">
        <f t="shared" ref="BG22:BG28" si="119">E22</f>
        <v>0</v>
      </c>
      <c r="BH22" s="2">
        <f t="shared" ref="BH22:BH28" si="120">F22</f>
        <v>0</v>
      </c>
      <c r="BI22" s="2">
        <f t="shared" ref="BI22:BI28" si="121">G22</f>
        <v>151.6</v>
      </c>
    </row>
    <row r="23" spans="1:61" x14ac:dyDescent="0.25">
      <c r="A23" t="s">
        <v>13</v>
      </c>
      <c r="B23" t="s">
        <v>4</v>
      </c>
      <c r="C23" s="2">
        <v>246</v>
      </c>
      <c r="D23" s="2">
        <v>279</v>
      </c>
      <c r="E23" s="2">
        <v>128.51160000000002</v>
      </c>
      <c r="F23" s="2">
        <v>211</v>
      </c>
      <c r="G23" s="2">
        <v>237.529</v>
      </c>
      <c r="H23" s="10">
        <f>G23/G$29</f>
        <v>0.79065215080059814</v>
      </c>
      <c r="J23" s="3">
        <v>2.4400000000000004</v>
      </c>
      <c r="K23" s="3">
        <v>2.7800000000000002</v>
      </c>
      <c r="L23" s="3">
        <v>1.25670002</v>
      </c>
      <c r="M23" s="3">
        <v>2.13</v>
      </c>
      <c r="N23" s="3">
        <v>2.3199847</v>
      </c>
      <c r="O23" s="10">
        <f>N23/N$29</f>
        <v>0.80053362460288047</v>
      </c>
      <c r="Q23" s="12" t="s">
        <v>17</v>
      </c>
      <c r="R23" s="12" t="s">
        <v>17</v>
      </c>
      <c r="S23" s="12">
        <f>0.28+0.94+0.09+0.05</f>
        <v>1.36</v>
      </c>
      <c r="T23" s="3">
        <v>2.27</v>
      </c>
      <c r="U23" s="3">
        <v>2.48330297</v>
      </c>
      <c r="V23" s="10">
        <f>U23/U$29</f>
        <v>0.80757133582522522</v>
      </c>
      <c r="X23" s="2">
        <f t="shared" ref="X23:X29" si="122">IF(ISNUMBER(J23/C23),J23/C23*10^6,"")</f>
        <v>9918.6991869918711</v>
      </c>
      <c r="Y23" s="2">
        <f t="shared" si="101"/>
        <v>9964.1577060931904</v>
      </c>
      <c r="Z23" s="2">
        <f t="shared" si="102"/>
        <v>9778.8839295441012</v>
      </c>
      <c r="AA23" s="2">
        <f t="shared" si="103"/>
        <v>10094.78672985782</v>
      </c>
      <c r="AB23" s="2">
        <f t="shared" si="104"/>
        <v>9767.1640094472677</v>
      </c>
      <c r="AC23" s="16">
        <f t="shared" ref="AC23:AC29" si="123">AVERAGE(X23:AB23)</f>
        <v>9904.7383123868494</v>
      </c>
      <c r="AE23" s="2" t="str">
        <f t="shared" ref="AE23:AE29" si="124">IF(ISNUMBER(Q23/C23),Q23/C23*10^6,"")</f>
        <v/>
      </c>
      <c r="AF23" s="2" t="str">
        <f t="shared" si="105"/>
        <v/>
      </c>
      <c r="AG23" s="2">
        <f t="shared" si="106"/>
        <v>10582.702261896979</v>
      </c>
      <c r="AH23" s="2">
        <f t="shared" si="107"/>
        <v>10758.293838862559</v>
      </c>
      <c r="AI23" s="2">
        <f t="shared" si="108"/>
        <v>10454.735926981548</v>
      </c>
      <c r="AJ23" s="16">
        <f t="shared" ref="AJ23:AJ29" si="125">AVERAGE(AE23:AI23)</f>
        <v>10598.577342580362</v>
      </c>
      <c r="AK23" s="19">
        <f t="shared" ref="AK23:AK29" si="126">AJ23/AC23</f>
        <v>1.0700512227895813</v>
      </c>
      <c r="AM23" s="18">
        <f t="shared" ref="AM23" si="127">J23*$AK23</f>
        <v>2.6109249836065787</v>
      </c>
      <c r="AN23" s="18">
        <f t="shared" ref="AN23:AN24" si="128">K23*$AK23</f>
        <v>2.9747423993550361</v>
      </c>
      <c r="AO23" s="3">
        <f t="shared" ref="AM23:AQ29" si="129">S23</f>
        <v>1.36</v>
      </c>
      <c r="AP23" s="3">
        <f t="shared" si="129"/>
        <v>2.27</v>
      </c>
      <c r="AQ23" s="3">
        <f t="shared" si="129"/>
        <v>2.48330297</v>
      </c>
      <c r="AS23" s="3">
        <f t="shared" ref="AS23:AS26" si="130">J23</f>
        <v>2.4400000000000004</v>
      </c>
      <c r="AT23" s="3">
        <f t="shared" si="110"/>
        <v>2.7800000000000002</v>
      </c>
      <c r="AU23" s="3">
        <f t="shared" si="111"/>
        <v>1.25670002</v>
      </c>
      <c r="AV23" s="3">
        <f t="shared" si="112"/>
        <v>2.13</v>
      </c>
      <c r="AW23" s="3">
        <f t="shared" si="113"/>
        <v>2.3199847</v>
      </c>
      <c r="AY23" s="34">
        <f t="shared" ref="AY23:AY29" si="131">IF(AS23=0,IF(AM23=0,"","Error"),AM23/AS23)</f>
        <v>1.0700512227895813</v>
      </c>
      <c r="AZ23" s="34">
        <f t="shared" si="114"/>
        <v>1.0700512227895813</v>
      </c>
      <c r="BA23" s="34">
        <f t="shared" si="115"/>
        <v>1.0821993939333272</v>
      </c>
      <c r="BB23" s="34">
        <f t="shared" si="116"/>
        <v>1.0657276995305165</v>
      </c>
      <c r="BC23" s="34">
        <f t="shared" si="117"/>
        <v>1.0703962702857479</v>
      </c>
      <c r="BE23" s="2">
        <f t="shared" ref="BE23:BE28" si="132">C23</f>
        <v>246</v>
      </c>
      <c r="BF23" s="2">
        <f t="shared" si="118"/>
        <v>279</v>
      </c>
      <c r="BG23" s="2">
        <f t="shared" si="119"/>
        <v>128.51160000000002</v>
      </c>
      <c r="BH23" s="2">
        <f t="shared" si="120"/>
        <v>211</v>
      </c>
      <c r="BI23" s="2">
        <f t="shared" si="121"/>
        <v>237.529</v>
      </c>
    </row>
    <row r="24" spans="1:61" x14ac:dyDescent="0.25">
      <c r="A24" t="s">
        <v>13</v>
      </c>
      <c r="B24" t="s">
        <v>5</v>
      </c>
      <c r="C24" s="2">
        <v>0</v>
      </c>
      <c r="D24" s="2">
        <v>29</v>
      </c>
      <c r="E24" s="2">
        <v>0</v>
      </c>
      <c r="F24" s="2">
        <v>11</v>
      </c>
      <c r="G24" s="2">
        <v>88.707380000000001</v>
      </c>
      <c r="H24" s="10">
        <f>-G24/G$29</f>
        <v>-0.29527628537520034</v>
      </c>
      <c r="J24" s="3">
        <v>0</v>
      </c>
      <c r="K24" s="3">
        <v>0.25</v>
      </c>
      <c r="L24" s="3">
        <v>0</v>
      </c>
      <c r="M24" s="3">
        <v>0.06</v>
      </c>
      <c r="N24" s="3">
        <v>0.76377691199999997</v>
      </c>
      <c r="O24" s="10">
        <f>-N24/N$29</f>
        <v>-0.26354876381355241</v>
      </c>
      <c r="Q24" s="13">
        <v>0</v>
      </c>
      <c r="R24" s="12" t="s">
        <v>17</v>
      </c>
      <c r="S24" s="14">
        <v>0</v>
      </c>
      <c r="T24" s="3">
        <v>0.08</v>
      </c>
      <c r="U24" s="3">
        <v>0.79164882700000005</v>
      </c>
      <c r="V24" s="10">
        <f>-U24/U$29</f>
        <v>-0.25744458426869382</v>
      </c>
      <c r="X24" s="2" t="str">
        <f t="shared" si="122"/>
        <v/>
      </c>
      <c r="Y24" s="2">
        <f t="shared" si="101"/>
        <v>8620.689655172413</v>
      </c>
      <c r="Z24" s="2" t="str">
        <f t="shared" si="102"/>
        <v/>
      </c>
      <c r="AA24" s="2">
        <f t="shared" si="103"/>
        <v>5454.545454545454</v>
      </c>
      <c r="AB24" s="2">
        <f t="shared" si="104"/>
        <v>8610.0718113870571</v>
      </c>
      <c r="AC24" s="16">
        <f t="shared" si="123"/>
        <v>7561.7689737016408</v>
      </c>
      <c r="AE24" s="2" t="str">
        <f t="shared" si="124"/>
        <v/>
      </c>
      <c r="AF24" s="2" t="str">
        <f t="shared" si="105"/>
        <v/>
      </c>
      <c r="AG24" s="2" t="str">
        <f t="shared" si="106"/>
        <v/>
      </c>
      <c r="AH24" s="2">
        <f t="shared" si="107"/>
        <v>7272.727272727273</v>
      </c>
      <c r="AI24" s="2">
        <f t="shared" si="108"/>
        <v>8924.2724449758316</v>
      </c>
      <c r="AJ24" s="16">
        <f t="shared" si="125"/>
        <v>8098.4998588515518</v>
      </c>
      <c r="AK24" s="19">
        <f t="shared" si="126"/>
        <v>1.0709795402394011</v>
      </c>
      <c r="AM24" s="3">
        <f t="shared" si="129"/>
        <v>0</v>
      </c>
      <c r="AN24" s="18">
        <f t="shared" si="128"/>
        <v>0.26774488505985028</v>
      </c>
      <c r="AO24" s="3">
        <f t="shared" si="129"/>
        <v>0</v>
      </c>
      <c r="AP24" s="3">
        <f t="shared" si="129"/>
        <v>0.08</v>
      </c>
      <c r="AQ24" s="3">
        <f t="shared" si="129"/>
        <v>0.79164882700000005</v>
      </c>
      <c r="AS24" s="3">
        <f t="shared" si="130"/>
        <v>0</v>
      </c>
      <c r="AT24" s="3">
        <f t="shared" si="110"/>
        <v>0.25</v>
      </c>
      <c r="AU24" s="3">
        <f t="shared" si="111"/>
        <v>0</v>
      </c>
      <c r="AV24" s="3">
        <f t="shared" si="112"/>
        <v>0.06</v>
      </c>
      <c r="AW24" s="3">
        <f t="shared" si="113"/>
        <v>0.76377691199999997</v>
      </c>
      <c r="AY24" s="34" t="str">
        <f t="shared" si="131"/>
        <v/>
      </c>
      <c r="AZ24" s="34">
        <f t="shared" si="114"/>
        <v>1.0709795402394011</v>
      </c>
      <c r="BA24" s="34" t="str">
        <f t="shared" si="115"/>
        <v/>
      </c>
      <c r="BB24" s="34">
        <f t="shared" si="116"/>
        <v>1.3333333333333335</v>
      </c>
      <c r="BC24" s="34">
        <f t="shared" si="117"/>
        <v>1.036492219864326</v>
      </c>
      <c r="BE24" s="2">
        <f t="shared" si="132"/>
        <v>0</v>
      </c>
      <c r="BF24" s="2">
        <f t="shared" si="118"/>
        <v>29</v>
      </c>
      <c r="BG24" s="2">
        <f t="shared" si="119"/>
        <v>0</v>
      </c>
      <c r="BH24" s="2">
        <f t="shared" si="120"/>
        <v>11</v>
      </c>
      <c r="BI24" s="2">
        <f t="shared" si="121"/>
        <v>88.707380000000001</v>
      </c>
    </row>
    <row r="25" spans="1:61" x14ac:dyDescent="0.25">
      <c r="A25" t="s">
        <v>13</v>
      </c>
      <c r="B25" t="s">
        <v>6</v>
      </c>
      <c r="C25" s="13">
        <v>0</v>
      </c>
      <c r="D25" s="13">
        <v>0</v>
      </c>
      <c r="E25" s="13">
        <v>0</v>
      </c>
      <c r="F25" s="13">
        <v>0</v>
      </c>
      <c r="G25" s="2">
        <v>0</v>
      </c>
      <c r="H25" s="10">
        <f>-G25/G$29</f>
        <v>0</v>
      </c>
      <c r="J25" s="13">
        <v>0</v>
      </c>
      <c r="K25" s="13">
        <v>0</v>
      </c>
      <c r="L25" s="13">
        <v>0</v>
      </c>
      <c r="M25" s="13">
        <v>0</v>
      </c>
      <c r="N25" s="3">
        <v>0</v>
      </c>
      <c r="O25" s="10">
        <f>-N25/N$29</f>
        <v>0</v>
      </c>
      <c r="Q25" s="13">
        <v>0</v>
      </c>
      <c r="R25" s="13">
        <v>0</v>
      </c>
      <c r="S25" s="13">
        <v>0</v>
      </c>
      <c r="T25" s="13">
        <v>0</v>
      </c>
      <c r="U25" s="3">
        <v>0</v>
      </c>
      <c r="V25" s="10">
        <f>-U25/U$29</f>
        <v>0</v>
      </c>
      <c r="X25" s="2" t="str">
        <f t="shared" si="122"/>
        <v/>
      </c>
      <c r="Y25" s="2" t="str">
        <f t="shared" si="101"/>
        <v/>
      </c>
      <c r="Z25" s="2" t="str">
        <f t="shared" si="102"/>
        <v/>
      </c>
      <c r="AA25" s="2" t="str">
        <f t="shared" si="103"/>
        <v/>
      </c>
      <c r="AB25" s="2" t="str">
        <f t="shared" si="104"/>
        <v/>
      </c>
      <c r="AC25" s="16" t="e">
        <f t="shared" si="123"/>
        <v>#DIV/0!</v>
      </c>
      <c r="AE25" s="2" t="str">
        <f t="shared" si="124"/>
        <v/>
      </c>
      <c r="AF25" s="2" t="str">
        <f t="shared" si="105"/>
        <v/>
      </c>
      <c r="AG25" s="2" t="str">
        <f t="shared" si="106"/>
        <v/>
      </c>
      <c r="AH25" s="2" t="str">
        <f t="shared" si="107"/>
        <v/>
      </c>
      <c r="AI25" s="2" t="str">
        <f t="shared" si="108"/>
        <v/>
      </c>
      <c r="AJ25" s="16" t="e">
        <f t="shared" si="125"/>
        <v>#DIV/0!</v>
      </c>
      <c r="AK25" s="19" t="e">
        <f t="shared" si="126"/>
        <v>#DIV/0!</v>
      </c>
      <c r="AM25" s="3">
        <f t="shared" ref="AM25:AM26" si="133">Q25</f>
        <v>0</v>
      </c>
      <c r="AN25" s="3">
        <f t="shared" ref="AN25:AN26" si="134">R25</f>
        <v>0</v>
      </c>
      <c r="AO25" s="3">
        <f t="shared" ref="AO25:AO26" si="135">S25</f>
        <v>0</v>
      </c>
      <c r="AP25" s="3">
        <f t="shared" ref="AP25:AP26" si="136">T25</f>
        <v>0</v>
      </c>
      <c r="AQ25" s="3">
        <f t="shared" si="129"/>
        <v>0</v>
      </c>
      <c r="AS25" s="3">
        <f t="shared" si="130"/>
        <v>0</v>
      </c>
      <c r="AT25" s="3">
        <f t="shared" si="110"/>
        <v>0</v>
      </c>
      <c r="AU25" s="3">
        <f t="shared" si="111"/>
        <v>0</v>
      </c>
      <c r="AV25" s="3">
        <f t="shared" si="112"/>
        <v>0</v>
      </c>
      <c r="AW25" s="3">
        <f t="shared" si="113"/>
        <v>0</v>
      </c>
      <c r="AY25" s="34" t="str">
        <f t="shared" si="131"/>
        <v/>
      </c>
      <c r="AZ25" s="34" t="str">
        <f t="shared" si="114"/>
        <v/>
      </c>
      <c r="BA25" s="34" t="str">
        <f t="shared" si="115"/>
        <v/>
      </c>
      <c r="BB25" s="34" t="str">
        <f t="shared" si="116"/>
        <v/>
      </c>
      <c r="BC25" s="34" t="str">
        <f t="shared" si="117"/>
        <v/>
      </c>
      <c r="BE25" s="2">
        <f t="shared" si="132"/>
        <v>0</v>
      </c>
      <c r="BF25" s="2">
        <f t="shared" si="118"/>
        <v>0</v>
      </c>
      <c r="BG25" s="2">
        <f t="shared" si="119"/>
        <v>0</v>
      </c>
      <c r="BH25" s="2">
        <f t="shared" si="120"/>
        <v>0</v>
      </c>
      <c r="BI25" s="2">
        <f t="shared" si="121"/>
        <v>0</v>
      </c>
    </row>
    <row r="26" spans="1:61" x14ac:dyDescent="0.25">
      <c r="A26" t="s">
        <v>13</v>
      </c>
      <c r="B26" t="s">
        <v>7</v>
      </c>
      <c r="C26" s="13">
        <v>0</v>
      </c>
      <c r="D26" s="13">
        <v>0</v>
      </c>
      <c r="E26" s="13">
        <v>0</v>
      </c>
      <c r="F26" s="13">
        <v>0</v>
      </c>
      <c r="G26" s="2">
        <v>0</v>
      </c>
      <c r="H26" s="10">
        <f>-G26/G$29</f>
        <v>0</v>
      </c>
      <c r="J26" s="13">
        <v>0</v>
      </c>
      <c r="K26" s="13">
        <v>0</v>
      </c>
      <c r="L26" s="13">
        <v>0</v>
      </c>
      <c r="M26" s="13">
        <v>0</v>
      </c>
      <c r="N26" s="3">
        <v>0</v>
      </c>
      <c r="O26" s="10">
        <f>-N26/N$29</f>
        <v>0</v>
      </c>
      <c r="Q26" s="13">
        <v>0</v>
      </c>
      <c r="R26" s="13">
        <v>0</v>
      </c>
      <c r="S26" s="13">
        <v>0</v>
      </c>
      <c r="T26" s="13">
        <v>0</v>
      </c>
      <c r="U26" s="3">
        <v>0</v>
      </c>
      <c r="V26" s="10">
        <f>-U26/U$29</f>
        <v>0</v>
      </c>
      <c r="X26" s="2" t="str">
        <f t="shared" si="122"/>
        <v/>
      </c>
      <c r="Y26" s="2" t="str">
        <f t="shared" si="101"/>
        <v/>
      </c>
      <c r="Z26" s="2" t="str">
        <f t="shared" si="102"/>
        <v/>
      </c>
      <c r="AA26" s="2" t="str">
        <f t="shared" si="103"/>
        <v/>
      </c>
      <c r="AB26" s="2" t="str">
        <f t="shared" si="104"/>
        <v/>
      </c>
      <c r="AC26" s="16" t="e">
        <f t="shared" si="123"/>
        <v>#DIV/0!</v>
      </c>
      <c r="AE26" s="2" t="str">
        <f t="shared" si="124"/>
        <v/>
      </c>
      <c r="AF26" s="2" t="str">
        <f t="shared" si="105"/>
        <v/>
      </c>
      <c r="AG26" s="2" t="str">
        <f t="shared" si="106"/>
        <v/>
      </c>
      <c r="AH26" s="2" t="str">
        <f t="shared" si="107"/>
        <v/>
      </c>
      <c r="AI26" s="2" t="str">
        <f t="shared" si="108"/>
        <v/>
      </c>
      <c r="AJ26" s="16" t="e">
        <f t="shared" si="125"/>
        <v>#DIV/0!</v>
      </c>
      <c r="AK26" s="19" t="e">
        <f t="shared" si="126"/>
        <v>#DIV/0!</v>
      </c>
      <c r="AM26" s="3">
        <f t="shared" si="133"/>
        <v>0</v>
      </c>
      <c r="AN26" s="3">
        <f t="shared" si="134"/>
        <v>0</v>
      </c>
      <c r="AO26" s="3">
        <f t="shared" si="135"/>
        <v>0</v>
      </c>
      <c r="AP26" s="3">
        <f t="shared" si="136"/>
        <v>0</v>
      </c>
      <c r="AQ26" s="3">
        <f t="shared" si="129"/>
        <v>0</v>
      </c>
      <c r="AS26" s="3">
        <f t="shared" si="130"/>
        <v>0</v>
      </c>
      <c r="AT26" s="3">
        <f t="shared" si="110"/>
        <v>0</v>
      </c>
      <c r="AU26" s="3">
        <f t="shared" si="111"/>
        <v>0</v>
      </c>
      <c r="AV26" s="3">
        <f t="shared" si="112"/>
        <v>0</v>
      </c>
      <c r="AW26" s="3">
        <f t="shared" si="113"/>
        <v>0</v>
      </c>
      <c r="AY26" s="34" t="str">
        <f t="shared" si="131"/>
        <v/>
      </c>
      <c r="AZ26" s="34" t="str">
        <f t="shared" si="114"/>
        <v/>
      </c>
      <c r="BA26" s="34" t="str">
        <f t="shared" si="115"/>
        <v/>
      </c>
      <c r="BB26" s="34" t="str">
        <f t="shared" si="116"/>
        <v/>
      </c>
      <c r="BC26" s="34" t="str">
        <f t="shared" si="117"/>
        <v/>
      </c>
      <c r="BE26" s="2">
        <f t="shared" si="132"/>
        <v>0</v>
      </c>
      <c r="BF26" s="2">
        <f t="shared" si="118"/>
        <v>0</v>
      </c>
      <c r="BG26" s="2">
        <f t="shared" si="119"/>
        <v>0</v>
      </c>
      <c r="BH26" s="2">
        <f t="shared" si="120"/>
        <v>0</v>
      </c>
      <c r="BI26" s="2">
        <f t="shared" si="121"/>
        <v>0</v>
      </c>
    </row>
    <row r="27" spans="1:61" x14ac:dyDescent="0.25">
      <c r="A27" t="s">
        <v>13</v>
      </c>
      <c r="B27" t="s">
        <v>8</v>
      </c>
      <c r="C27" s="12" t="s">
        <v>16</v>
      </c>
      <c r="D27" s="12" t="s">
        <v>16</v>
      </c>
      <c r="E27" s="12" t="s">
        <v>16</v>
      </c>
      <c r="F27" s="12" t="s">
        <v>16</v>
      </c>
      <c r="G27" s="2">
        <v>0</v>
      </c>
      <c r="H27" s="10">
        <f>-G27/G$29</f>
        <v>0</v>
      </c>
      <c r="J27" s="12" t="s">
        <v>16</v>
      </c>
      <c r="K27" s="12" t="s">
        <v>16</v>
      </c>
      <c r="L27" s="12" t="s">
        <v>16</v>
      </c>
      <c r="M27" s="12" t="s">
        <v>16</v>
      </c>
      <c r="N27" s="3">
        <v>0</v>
      </c>
      <c r="O27" s="10">
        <f>-N27/N$29</f>
        <v>0</v>
      </c>
      <c r="Q27" s="12" t="s">
        <v>16</v>
      </c>
      <c r="R27" s="12" t="s">
        <v>16</v>
      </c>
      <c r="S27" s="12" t="s">
        <v>16</v>
      </c>
      <c r="T27" s="12" t="s">
        <v>16</v>
      </c>
      <c r="U27" s="3">
        <v>0</v>
      </c>
      <c r="V27" s="10">
        <f>-U27/U$29</f>
        <v>0</v>
      </c>
      <c r="X27" s="2" t="str">
        <f t="shared" si="122"/>
        <v/>
      </c>
      <c r="Y27" s="2" t="str">
        <f t="shared" si="101"/>
        <v/>
      </c>
      <c r="Z27" s="2" t="str">
        <f t="shared" si="102"/>
        <v/>
      </c>
      <c r="AA27" s="2" t="str">
        <f t="shared" si="103"/>
        <v/>
      </c>
      <c r="AB27" s="2" t="str">
        <f t="shared" si="104"/>
        <v/>
      </c>
      <c r="AC27" s="16" t="e">
        <f t="shared" si="123"/>
        <v>#DIV/0!</v>
      </c>
      <c r="AE27" s="2" t="str">
        <f t="shared" si="124"/>
        <v/>
      </c>
      <c r="AF27" s="2" t="str">
        <f t="shared" si="105"/>
        <v/>
      </c>
      <c r="AG27" s="2" t="str">
        <f t="shared" si="106"/>
        <v/>
      </c>
      <c r="AH27" s="2" t="str">
        <f t="shared" si="107"/>
        <v/>
      </c>
      <c r="AI27" s="2" t="str">
        <f t="shared" si="108"/>
        <v/>
      </c>
      <c r="AJ27" s="16" t="e">
        <f t="shared" si="125"/>
        <v>#DIV/0!</v>
      </c>
      <c r="AK27" s="19" t="e">
        <f t="shared" si="126"/>
        <v>#DIV/0!</v>
      </c>
      <c r="AM27" s="18"/>
      <c r="AN27" s="18"/>
      <c r="AO27" s="18"/>
      <c r="AP27" s="18"/>
      <c r="AQ27" s="3">
        <f t="shared" si="129"/>
        <v>0</v>
      </c>
      <c r="AS27" s="24"/>
      <c r="AT27" s="24"/>
      <c r="AU27" s="24"/>
      <c r="AV27" s="24"/>
      <c r="AW27" s="3">
        <f t="shared" si="113"/>
        <v>0</v>
      </c>
      <c r="AY27" s="34" t="str">
        <f t="shared" si="131"/>
        <v/>
      </c>
      <c r="AZ27" s="34" t="str">
        <f t="shared" si="114"/>
        <v/>
      </c>
      <c r="BA27" s="34" t="str">
        <f t="shared" si="115"/>
        <v/>
      </c>
      <c r="BB27" s="34" t="str">
        <f t="shared" si="116"/>
        <v/>
      </c>
      <c r="BC27" s="34" t="str">
        <f t="shared" si="117"/>
        <v/>
      </c>
      <c r="BE27" s="24"/>
      <c r="BF27" s="24"/>
      <c r="BG27" s="24"/>
      <c r="BH27" s="24"/>
      <c r="BI27" s="2">
        <f t="shared" si="121"/>
        <v>0</v>
      </c>
    </row>
    <row r="28" spans="1:61" x14ac:dyDescent="0.25">
      <c r="A28" t="s">
        <v>13</v>
      </c>
      <c r="B28" t="s">
        <v>9</v>
      </c>
      <c r="C28" s="13">
        <v>0</v>
      </c>
      <c r="D28" s="12" t="s">
        <v>16</v>
      </c>
      <c r="E28" s="13">
        <v>0</v>
      </c>
      <c r="F28" s="13">
        <v>0</v>
      </c>
      <c r="G28" s="2">
        <v>0</v>
      </c>
      <c r="H28" s="10">
        <f>-G28/G$29</f>
        <v>0</v>
      </c>
      <c r="J28" s="12" t="s">
        <v>17</v>
      </c>
      <c r="K28" s="12" t="s">
        <v>16</v>
      </c>
      <c r="L28" s="13">
        <v>0</v>
      </c>
      <c r="M28" s="13">
        <v>0</v>
      </c>
      <c r="N28" s="3">
        <v>0</v>
      </c>
      <c r="O28" s="10">
        <f>-N28/N$29</f>
        <v>0</v>
      </c>
      <c r="Q28" s="12" t="s">
        <v>17</v>
      </c>
      <c r="R28" s="12" t="s">
        <v>16</v>
      </c>
      <c r="S28" s="13">
        <v>0</v>
      </c>
      <c r="T28" s="13">
        <v>0</v>
      </c>
      <c r="U28" s="3">
        <v>0</v>
      </c>
      <c r="V28" s="10">
        <f>-U28/U$29</f>
        <v>0</v>
      </c>
      <c r="X28" s="2" t="str">
        <f t="shared" si="122"/>
        <v/>
      </c>
      <c r="Y28" s="2" t="str">
        <f t="shared" si="101"/>
        <v/>
      </c>
      <c r="Z28" s="2" t="str">
        <f t="shared" si="102"/>
        <v/>
      </c>
      <c r="AA28" s="2" t="str">
        <f t="shared" si="103"/>
        <v/>
      </c>
      <c r="AB28" s="2" t="str">
        <f t="shared" si="104"/>
        <v/>
      </c>
      <c r="AC28" s="16" t="e">
        <f t="shared" si="123"/>
        <v>#DIV/0!</v>
      </c>
      <c r="AE28" s="2" t="str">
        <f t="shared" si="124"/>
        <v/>
      </c>
      <c r="AF28" s="2" t="str">
        <f t="shared" si="105"/>
        <v/>
      </c>
      <c r="AG28" s="2" t="str">
        <f t="shared" si="106"/>
        <v/>
      </c>
      <c r="AH28" s="2" t="str">
        <f t="shared" si="107"/>
        <v/>
      </c>
      <c r="AI28" s="2" t="str">
        <f t="shared" si="108"/>
        <v/>
      </c>
      <c r="AJ28" s="16" t="e">
        <f t="shared" si="125"/>
        <v>#DIV/0!</v>
      </c>
      <c r="AK28" s="19" t="e">
        <f t="shared" si="126"/>
        <v>#DIV/0!</v>
      </c>
      <c r="AM28" s="18"/>
      <c r="AN28" s="18"/>
      <c r="AO28" s="3">
        <f t="shared" ref="AO28" si="137">S28</f>
        <v>0</v>
      </c>
      <c r="AP28" s="3">
        <f t="shared" ref="AP28" si="138">T28</f>
        <v>0</v>
      </c>
      <c r="AQ28" s="3">
        <f t="shared" si="129"/>
        <v>0</v>
      </c>
      <c r="AS28" s="24"/>
      <c r="AT28" s="24"/>
      <c r="AU28" s="3">
        <f t="shared" ref="AU28" si="139">L28</f>
        <v>0</v>
      </c>
      <c r="AV28" s="3">
        <f t="shared" ref="AV28" si="140">M28</f>
        <v>0</v>
      </c>
      <c r="AW28" s="3">
        <f t="shared" si="113"/>
        <v>0</v>
      </c>
      <c r="AY28" s="34" t="str">
        <f t="shared" si="131"/>
        <v/>
      </c>
      <c r="AZ28" s="34" t="str">
        <f t="shared" si="114"/>
        <v/>
      </c>
      <c r="BA28" s="34" t="str">
        <f t="shared" si="115"/>
        <v/>
      </c>
      <c r="BB28" s="34" t="str">
        <f t="shared" si="116"/>
        <v/>
      </c>
      <c r="BC28" s="34" t="str">
        <f t="shared" si="117"/>
        <v/>
      </c>
      <c r="BE28" s="2">
        <f t="shared" si="132"/>
        <v>0</v>
      </c>
      <c r="BF28" s="24"/>
      <c r="BG28" s="2">
        <f t="shared" si="119"/>
        <v>0</v>
      </c>
      <c r="BH28" s="2">
        <f t="shared" si="120"/>
        <v>0</v>
      </c>
      <c r="BI28" s="2">
        <f t="shared" si="121"/>
        <v>0</v>
      </c>
    </row>
    <row r="29" spans="1:61" x14ac:dyDescent="0.25">
      <c r="A29" s="4" t="s">
        <v>13</v>
      </c>
      <c r="B29" s="4" t="s">
        <v>10</v>
      </c>
      <c r="C29" s="5" t="e">
        <f t="shared" ref="C29:F29" si="141">C22+C23-C24-C25-C26-C27-C28</f>
        <v>#VALUE!</v>
      </c>
      <c r="D29" s="5" t="e">
        <f t="shared" si="141"/>
        <v>#VALUE!</v>
      </c>
      <c r="E29" s="5" t="e">
        <f t="shared" si="141"/>
        <v>#VALUE!</v>
      </c>
      <c r="F29" s="5" t="e">
        <f t="shared" si="141"/>
        <v>#VALUE!</v>
      </c>
      <c r="G29" s="5">
        <f>G22+G23-G24-G25-G26-G27-G28</f>
        <v>300.42162000000002</v>
      </c>
      <c r="H29" s="11">
        <f>G29/G$29</f>
        <v>1</v>
      </c>
      <c r="I29" s="4"/>
      <c r="J29" s="6" t="e">
        <f t="shared" ref="J29:M29" si="142">J22+J23-J24-J25-J26-J27-J28</f>
        <v>#VALUE!</v>
      </c>
      <c r="K29" s="6" t="e">
        <f t="shared" si="142"/>
        <v>#VALUE!</v>
      </c>
      <c r="L29" s="6" t="e">
        <f t="shared" si="142"/>
        <v>#VALUE!</v>
      </c>
      <c r="M29" s="6" t="e">
        <f t="shared" si="142"/>
        <v>#VALUE!</v>
      </c>
      <c r="N29" s="6">
        <f>N22+N23-N24-N25-N26-N27-N28</f>
        <v>2.898047788</v>
      </c>
      <c r="O29" s="11">
        <f>N29/N$29</f>
        <v>1</v>
      </c>
      <c r="P29" s="4"/>
      <c r="Q29" s="6" t="e">
        <f t="shared" ref="Q29:T29" si="143">Q22+Q23-Q24-Q25-Q26-Q27-Q28</f>
        <v>#VALUE!</v>
      </c>
      <c r="R29" s="6" t="e">
        <f t="shared" si="143"/>
        <v>#VALUE!</v>
      </c>
      <c r="S29" s="6" t="e">
        <f t="shared" si="143"/>
        <v>#VALUE!</v>
      </c>
      <c r="T29" s="6" t="e">
        <f t="shared" si="143"/>
        <v>#VALUE!</v>
      </c>
      <c r="U29" s="6">
        <f>U22+U23-U24-U25-U26-U27-U28</f>
        <v>3.0750261430000001</v>
      </c>
      <c r="V29" s="11">
        <f>U29/U$29</f>
        <v>1</v>
      </c>
      <c r="X29" s="5" t="str">
        <f t="shared" si="122"/>
        <v/>
      </c>
      <c r="Y29" s="5" t="str">
        <f t="shared" si="101"/>
        <v/>
      </c>
      <c r="Z29" s="5" t="str">
        <f t="shared" si="102"/>
        <v/>
      </c>
      <c r="AA29" s="5" t="str">
        <f t="shared" si="103"/>
        <v/>
      </c>
      <c r="AB29" s="5">
        <f t="shared" si="104"/>
        <v>9646.6019589402367</v>
      </c>
      <c r="AC29" s="17">
        <f t="shared" si="123"/>
        <v>9646.6019589402367</v>
      </c>
      <c r="AD29" s="4"/>
      <c r="AE29" s="5" t="str">
        <f t="shared" si="124"/>
        <v/>
      </c>
      <c r="AF29" s="5" t="str">
        <f t="shared" si="105"/>
        <v/>
      </c>
      <c r="AG29" s="5" t="str">
        <f t="shared" si="106"/>
        <v/>
      </c>
      <c r="AH29" s="5" t="str">
        <f t="shared" si="107"/>
        <v/>
      </c>
      <c r="AI29" s="5">
        <f t="shared" si="108"/>
        <v>10235.701887900077</v>
      </c>
      <c r="AJ29" s="17">
        <f t="shared" si="125"/>
        <v>10235.701887900077</v>
      </c>
      <c r="AK29" s="20">
        <f t="shared" si="126"/>
        <v>1.061068128597747</v>
      </c>
      <c r="AM29" s="6">
        <f t="shared" ref="AM29:AP29" si="144">AM22+AM23-AM24-AM25-AM26-AM27-AM28</f>
        <v>2.6109249836065787</v>
      </c>
      <c r="AN29" s="6">
        <f t="shared" si="144"/>
        <v>2.7069975142951859</v>
      </c>
      <c r="AO29" s="6">
        <f t="shared" si="144"/>
        <v>1.36</v>
      </c>
      <c r="AP29" s="6">
        <f t="shared" si="144"/>
        <v>2.19</v>
      </c>
      <c r="AQ29" s="6">
        <f t="shared" si="129"/>
        <v>3.0750261430000001</v>
      </c>
      <c r="AS29" s="6">
        <f t="shared" ref="AS29:AW29" si="145">AS22+AS23-AS24-AS25-AS26-AS27-AS28</f>
        <v>2.4400000000000004</v>
      </c>
      <c r="AT29" s="6">
        <f t="shared" si="145"/>
        <v>2.5300000000000002</v>
      </c>
      <c r="AU29" s="6">
        <f t="shared" si="145"/>
        <v>1.25670002</v>
      </c>
      <c r="AV29" s="6">
        <f t="shared" si="145"/>
        <v>2.0699999999999998</v>
      </c>
      <c r="AW29" s="6">
        <f t="shared" si="145"/>
        <v>2.898047788</v>
      </c>
      <c r="AY29" s="35">
        <f t="shared" si="131"/>
        <v>1.0700512227895813</v>
      </c>
      <c r="AZ29" s="35">
        <f t="shared" si="114"/>
        <v>1.0699594918162789</v>
      </c>
      <c r="BA29" s="35">
        <f t="shared" si="115"/>
        <v>1.0821993939333272</v>
      </c>
      <c r="BB29" s="35">
        <f t="shared" si="116"/>
        <v>1.0579710144927537</v>
      </c>
      <c r="BC29" s="35">
        <f t="shared" si="117"/>
        <v>1.061068128597747</v>
      </c>
      <c r="BE29" s="5">
        <f t="shared" ref="BE29:BI29" si="146">BE22+BE23-BE24-BE25-BE26-BE27-BE28</f>
        <v>246</v>
      </c>
      <c r="BF29" s="5">
        <f t="shared" si="146"/>
        <v>250</v>
      </c>
      <c r="BG29" s="5">
        <f t="shared" si="146"/>
        <v>128.51160000000002</v>
      </c>
      <c r="BH29" s="5">
        <f t="shared" si="146"/>
        <v>200</v>
      </c>
      <c r="BI29" s="5">
        <f t="shared" si="146"/>
        <v>300.42162000000002</v>
      </c>
    </row>
    <row r="30" spans="1:61" x14ac:dyDescent="0.25">
      <c r="H30" s="9"/>
      <c r="O30" s="9"/>
      <c r="V30" s="9"/>
      <c r="AK30" s="21"/>
    </row>
    <row r="31" spans="1:61" x14ac:dyDescent="0.25">
      <c r="A31" t="s">
        <v>14</v>
      </c>
      <c r="B31" t="s">
        <v>3</v>
      </c>
      <c r="C31" s="14">
        <v>0</v>
      </c>
      <c r="D31" s="14">
        <v>0</v>
      </c>
      <c r="E31" s="14">
        <v>0</v>
      </c>
      <c r="F31" s="14">
        <v>0</v>
      </c>
      <c r="G31" s="2">
        <v>2837.8</v>
      </c>
      <c r="H31" s="10">
        <f>G31/G$38</f>
        <v>1.9438530732578747</v>
      </c>
      <c r="J31" s="14">
        <v>0</v>
      </c>
      <c r="K31" s="14">
        <v>0</v>
      </c>
      <c r="L31" s="14">
        <v>0</v>
      </c>
      <c r="M31" s="14">
        <v>0</v>
      </c>
      <c r="N31" s="3">
        <v>62.99916000000001</v>
      </c>
      <c r="O31" s="10">
        <f>N31/N$38</f>
        <v>1.9438530732578745</v>
      </c>
      <c r="Q31" s="14">
        <v>0</v>
      </c>
      <c r="R31" s="14">
        <v>0</v>
      </c>
      <c r="S31" s="14">
        <v>0</v>
      </c>
      <c r="T31" s="14">
        <v>0</v>
      </c>
      <c r="U31" s="3">
        <v>64.701840000000004</v>
      </c>
      <c r="V31" s="10">
        <f>U31/U$38</f>
        <v>1.9438530732578738</v>
      </c>
      <c r="X31" s="2" t="str">
        <f>IF(ISNUMBER(J31/C31),J31/C31*10^6,"")</f>
        <v/>
      </c>
      <c r="Y31" s="2" t="str">
        <f t="shared" ref="Y31:Y38" si="147">IF(ISNUMBER(K31/D31),K31/D31*10^6,"")</f>
        <v/>
      </c>
      <c r="Z31" s="2" t="str">
        <f t="shared" ref="Z31:Z38" si="148">IF(ISNUMBER(L31/E31),L31/E31*10^6,"")</f>
        <v/>
      </c>
      <c r="AA31" s="2" t="str">
        <f t="shared" ref="AA31:AA38" si="149">IF(ISNUMBER(M31/F31),M31/F31*10^6,"")</f>
        <v/>
      </c>
      <c r="AB31" s="2">
        <f t="shared" ref="AB31:AB38" si="150">IF(ISNUMBER(N31/G31),N31/G31*10^6,"")</f>
        <v>22200</v>
      </c>
      <c r="AC31" s="16">
        <f>AVERAGE(X31:AB31)</f>
        <v>22200</v>
      </c>
      <c r="AE31" s="2" t="str">
        <f>IF(ISNUMBER(Q31/C31),Q31/C31*10^6,"")</f>
        <v/>
      </c>
      <c r="AF31" s="2" t="str">
        <f t="shared" ref="AF31:AF38" si="151">IF(ISNUMBER(R31/D31),R31/D31*10^6,"")</f>
        <v/>
      </c>
      <c r="AG31" s="2" t="str">
        <f t="shared" ref="AG31:AG38" si="152">IF(ISNUMBER(S31/E31),S31/E31*10^6,"")</f>
        <v/>
      </c>
      <c r="AH31" s="2" t="str">
        <f t="shared" ref="AH31:AH38" si="153">IF(ISNUMBER(T31/F31),T31/F31*10^6,"")</f>
        <v/>
      </c>
      <c r="AI31" s="2">
        <f t="shared" ref="AI31:AI38" si="154">IF(ISNUMBER(U31/G31),U31/G31*10^6,"")</f>
        <v>22800</v>
      </c>
      <c r="AJ31" s="16">
        <f>AVERAGE(AE31:AI31)</f>
        <v>22800</v>
      </c>
      <c r="AK31" s="19">
        <f>AJ31/AC31</f>
        <v>1.027027027027027</v>
      </c>
      <c r="AM31" s="3">
        <f t="shared" ref="AM31:AP31" si="155">Q31</f>
        <v>0</v>
      </c>
      <c r="AN31" s="3">
        <f t="shared" si="155"/>
        <v>0</v>
      </c>
      <c r="AO31" s="3">
        <f t="shared" si="155"/>
        <v>0</v>
      </c>
      <c r="AP31" s="3">
        <f t="shared" si="155"/>
        <v>0</v>
      </c>
      <c r="AQ31" s="3">
        <f>U31</f>
        <v>64.701840000000004</v>
      </c>
      <c r="AS31" s="3">
        <f>J31</f>
        <v>0</v>
      </c>
      <c r="AT31" s="3">
        <f t="shared" ref="AT31:AT37" si="156">K31</f>
        <v>0</v>
      </c>
      <c r="AU31" s="3">
        <f t="shared" ref="AU31:AU37" si="157">L31</f>
        <v>0</v>
      </c>
      <c r="AV31" s="3">
        <f t="shared" ref="AV31:AV37" si="158">M31</f>
        <v>0</v>
      </c>
      <c r="AW31" s="3">
        <f t="shared" ref="AW31:AW37" si="159">N31</f>
        <v>62.99916000000001</v>
      </c>
      <c r="AY31" s="34" t="str">
        <f>IF(AS31=0,IF(AM31=0,"","Error"),AM31/AS31)</f>
        <v/>
      </c>
      <c r="AZ31" s="34" t="str">
        <f t="shared" ref="AZ31:AZ38" si="160">IF(AT31=0,IF(AN31=0,"","Error"),AN31/AT31)</f>
        <v/>
      </c>
      <c r="BA31" s="34" t="str">
        <f t="shared" ref="BA31:BA38" si="161">IF(AU31=0,IF(AO31=0,"","Error"),AO31/AU31)</f>
        <v/>
      </c>
      <c r="BB31" s="34" t="str">
        <f t="shared" ref="BB31:BB38" si="162">IF(AV31=0,IF(AP31=0,"","Error"),AP31/AV31)</f>
        <v/>
      </c>
      <c r="BC31" s="34">
        <f t="shared" ref="BC31:BC38" si="163">IF(AW31=0,IF(AQ31=0,"","Error"),AQ31/AW31)</f>
        <v>1.027027027027027</v>
      </c>
      <c r="BE31" s="2">
        <f>C31</f>
        <v>0</v>
      </c>
      <c r="BF31" s="2">
        <f t="shared" ref="BF31:BF37" si="164">D31</f>
        <v>0</v>
      </c>
      <c r="BG31" s="2">
        <f t="shared" ref="BG31:BG37" si="165">E31</f>
        <v>0</v>
      </c>
      <c r="BH31" s="2">
        <f t="shared" ref="BH31:BH37" si="166">F31</f>
        <v>0</v>
      </c>
      <c r="BI31" s="2">
        <f t="shared" ref="BI31:BI37" si="167">G31</f>
        <v>2837.8</v>
      </c>
    </row>
    <row r="32" spans="1:61" x14ac:dyDescent="0.25">
      <c r="A32" t="s">
        <v>14</v>
      </c>
      <c r="B32" t="s">
        <v>4</v>
      </c>
      <c r="C32" s="2">
        <v>801</v>
      </c>
      <c r="D32" s="2">
        <v>691</v>
      </c>
      <c r="E32" s="2">
        <v>670.86599999999999</v>
      </c>
      <c r="F32" s="2">
        <v>539</v>
      </c>
      <c r="G32" s="2">
        <v>586.65100000000007</v>
      </c>
      <c r="H32" s="10">
        <f>G32/G$38</f>
        <v>0.40184768104863117</v>
      </c>
      <c r="J32" s="3">
        <v>17.79</v>
      </c>
      <c r="K32" s="3">
        <v>15.35</v>
      </c>
      <c r="L32" s="3">
        <v>14.8932252</v>
      </c>
      <c r="M32" s="3">
        <v>11.98</v>
      </c>
      <c r="N32" s="3">
        <v>13.023652200000001</v>
      </c>
      <c r="O32" s="10">
        <f>N32/N$38</f>
        <v>0.40184768104863106</v>
      </c>
      <c r="Q32" s="12">
        <v>18.270810810810808</v>
      </c>
      <c r="R32" s="12">
        <v>15.764864864864865</v>
      </c>
      <c r="S32" s="12">
        <v>15.2957448</v>
      </c>
      <c r="T32" s="3">
        <v>12.3</v>
      </c>
      <c r="U32" s="3">
        <v>13.375642800000001</v>
      </c>
      <c r="V32" s="10">
        <f>U32/U$38</f>
        <v>0.401847681048631</v>
      </c>
      <c r="X32" s="2">
        <f t="shared" ref="X32:X38" si="168">IF(ISNUMBER(J32/C32),J32/C32*10^6,"")</f>
        <v>22209.737827715355</v>
      </c>
      <c r="Y32" s="2">
        <f t="shared" si="147"/>
        <v>22214.182344428362</v>
      </c>
      <c r="Z32" s="2">
        <f t="shared" si="148"/>
        <v>22200</v>
      </c>
      <c r="AA32" s="2">
        <f t="shared" si="149"/>
        <v>22226.34508348794</v>
      </c>
      <c r="AB32" s="2">
        <f t="shared" si="150"/>
        <v>22199.999999999996</v>
      </c>
      <c r="AC32" s="16">
        <f t="shared" ref="AC32:AC38" si="169">AVERAGE(X32:AB32)</f>
        <v>22210.053051126328</v>
      </c>
      <c r="AE32" s="2">
        <f t="shared" ref="AE32:AE38" si="170">IF(ISNUMBER(Q32/C32),Q32/C32*10^6,"")</f>
        <v>22810.001012248198</v>
      </c>
      <c r="AF32" s="2">
        <f t="shared" si="151"/>
        <v>22814.565651034536</v>
      </c>
      <c r="AG32" s="2">
        <f t="shared" si="152"/>
        <v>22800</v>
      </c>
      <c r="AH32" s="2">
        <f t="shared" si="153"/>
        <v>22820.037105751391</v>
      </c>
      <c r="AI32" s="2">
        <f t="shared" si="154"/>
        <v>22800</v>
      </c>
      <c r="AJ32" s="16">
        <f t="shared" ref="AJ32:AJ38" si="171">AVERAGE(AE32:AI32)</f>
        <v>22808.920753806822</v>
      </c>
      <c r="AK32" s="19">
        <f t="shared" ref="AK32:AK38" si="172">AJ32/AC32</f>
        <v>1.0269638123466853</v>
      </c>
      <c r="AM32" s="3">
        <f t="shared" ref="AM32:AM37" si="173">Q32</f>
        <v>18.270810810810808</v>
      </c>
      <c r="AN32" s="3">
        <f t="shared" ref="AN32:AN37" si="174">R32</f>
        <v>15.764864864864865</v>
      </c>
      <c r="AO32" s="3">
        <f t="shared" ref="AO32:AO37" si="175">S32</f>
        <v>15.2957448</v>
      </c>
      <c r="AP32" s="3">
        <f t="shared" ref="AP32:AQ38" si="176">T32</f>
        <v>12.3</v>
      </c>
      <c r="AQ32" s="3">
        <f t="shared" si="176"/>
        <v>13.375642800000001</v>
      </c>
      <c r="AS32" s="3">
        <f t="shared" ref="AS32:AS37" si="177">J32</f>
        <v>17.79</v>
      </c>
      <c r="AT32" s="3">
        <f t="shared" si="156"/>
        <v>15.35</v>
      </c>
      <c r="AU32" s="3">
        <f t="shared" si="157"/>
        <v>14.8932252</v>
      </c>
      <c r="AV32" s="3">
        <f t="shared" si="158"/>
        <v>11.98</v>
      </c>
      <c r="AW32" s="3">
        <f t="shared" si="159"/>
        <v>13.023652200000001</v>
      </c>
      <c r="AY32" s="34">
        <f t="shared" ref="AY32:AY38" si="178">IF(AS32=0,IF(AM32=0,"","Error"),AM32/AS32)</f>
        <v>1.027027027027027</v>
      </c>
      <c r="AZ32" s="34">
        <f t="shared" si="160"/>
        <v>1.027027027027027</v>
      </c>
      <c r="BA32" s="34">
        <f t="shared" si="161"/>
        <v>1.027027027027027</v>
      </c>
      <c r="BB32" s="34">
        <f t="shared" si="162"/>
        <v>1.0267111853088482</v>
      </c>
      <c r="BC32" s="34">
        <f t="shared" si="163"/>
        <v>1.027027027027027</v>
      </c>
      <c r="BE32" s="2">
        <f t="shared" ref="BE32:BE37" si="179">C32</f>
        <v>801</v>
      </c>
      <c r="BF32" s="2">
        <f t="shared" si="164"/>
        <v>691</v>
      </c>
      <c r="BG32" s="2">
        <f t="shared" si="165"/>
        <v>670.86599999999999</v>
      </c>
      <c r="BH32" s="2">
        <f t="shared" si="166"/>
        <v>539</v>
      </c>
      <c r="BI32" s="2">
        <f t="shared" si="167"/>
        <v>586.65100000000007</v>
      </c>
    </row>
    <row r="33" spans="1:61" x14ac:dyDescent="0.25">
      <c r="A33" t="s">
        <v>14</v>
      </c>
      <c r="B33" t="s">
        <v>5</v>
      </c>
      <c r="C33" s="2">
        <v>1659</v>
      </c>
      <c r="D33" s="2">
        <v>1185</v>
      </c>
      <c r="E33" s="2">
        <v>1422.7707</v>
      </c>
      <c r="F33" s="2">
        <v>1697</v>
      </c>
      <c r="G33" s="2">
        <v>1963.5669999999996</v>
      </c>
      <c r="H33" s="10">
        <f>-G33/G$38</f>
        <v>-1.3450157683761168</v>
      </c>
      <c r="J33" s="3">
        <v>36.82</v>
      </c>
      <c r="K33" s="3">
        <v>26.3</v>
      </c>
      <c r="L33" s="3">
        <v>31.585509540000004</v>
      </c>
      <c r="M33" s="3">
        <v>37.659999999999997</v>
      </c>
      <c r="N33" s="3">
        <v>43.591187399999988</v>
      </c>
      <c r="O33" s="10">
        <f>-N33/N$38</f>
        <v>-1.3450157683761164</v>
      </c>
      <c r="Q33" s="12">
        <v>37.815135135135137</v>
      </c>
      <c r="R33" s="12">
        <v>27.01081081081081</v>
      </c>
      <c r="S33" s="12">
        <v>32.439171960000003</v>
      </c>
      <c r="T33" s="3">
        <v>38.68</v>
      </c>
      <c r="U33" s="3">
        <v>44.76932759999999</v>
      </c>
      <c r="V33" s="10">
        <f>-U33/U$38</f>
        <v>-1.3450157683761161</v>
      </c>
      <c r="X33" s="2">
        <f t="shared" si="168"/>
        <v>22194.09282700422</v>
      </c>
      <c r="Y33" s="2">
        <f t="shared" si="147"/>
        <v>22194.09282700422</v>
      </c>
      <c r="Z33" s="2">
        <f t="shared" si="148"/>
        <v>22200</v>
      </c>
      <c r="AA33" s="2">
        <f t="shared" si="149"/>
        <v>22192.103712433702</v>
      </c>
      <c r="AB33" s="2">
        <f t="shared" si="150"/>
        <v>22199.999999999996</v>
      </c>
      <c r="AC33" s="16">
        <f t="shared" si="169"/>
        <v>22196.057873288428</v>
      </c>
      <c r="AE33" s="2">
        <f t="shared" si="170"/>
        <v>22793.933173680009</v>
      </c>
      <c r="AF33" s="2">
        <f t="shared" si="151"/>
        <v>22793.933173680005</v>
      </c>
      <c r="AG33" s="2">
        <f t="shared" si="152"/>
        <v>22800</v>
      </c>
      <c r="AH33" s="2">
        <f t="shared" si="153"/>
        <v>22793.164407778433</v>
      </c>
      <c r="AI33" s="2">
        <f t="shared" si="154"/>
        <v>22800</v>
      </c>
      <c r="AJ33" s="16">
        <f t="shared" si="171"/>
        <v>22796.206151027691</v>
      </c>
      <c r="AK33" s="19">
        <f t="shared" si="172"/>
        <v>1.0270385075208108</v>
      </c>
      <c r="AM33" s="3">
        <f t="shared" si="173"/>
        <v>37.815135135135137</v>
      </c>
      <c r="AN33" s="3">
        <f t="shared" si="174"/>
        <v>27.01081081081081</v>
      </c>
      <c r="AO33" s="3">
        <f t="shared" si="175"/>
        <v>32.439171960000003</v>
      </c>
      <c r="AP33" s="3">
        <f t="shared" si="176"/>
        <v>38.68</v>
      </c>
      <c r="AQ33" s="3">
        <f t="shared" si="176"/>
        <v>44.76932759999999</v>
      </c>
      <c r="AS33" s="3">
        <f t="shared" si="177"/>
        <v>36.82</v>
      </c>
      <c r="AT33" s="3">
        <f t="shared" si="156"/>
        <v>26.3</v>
      </c>
      <c r="AU33" s="3">
        <f t="shared" si="157"/>
        <v>31.585509540000004</v>
      </c>
      <c r="AV33" s="3">
        <f t="shared" si="158"/>
        <v>37.659999999999997</v>
      </c>
      <c r="AW33" s="3">
        <f t="shared" si="159"/>
        <v>43.591187399999988</v>
      </c>
      <c r="AY33" s="34">
        <f t="shared" si="178"/>
        <v>1.027027027027027</v>
      </c>
      <c r="AZ33" s="34">
        <f t="shared" si="160"/>
        <v>1.027027027027027</v>
      </c>
      <c r="BA33" s="34">
        <f t="shared" si="161"/>
        <v>1.027027027027027</v>
      </c>
      <c r="BB33" s="34">
        <f t="shared" si="162"/>
        <v>1.027084439723845</v>
      </c>
      <c r="BC33" s="34">
        <f t="shared" si="163"/>
        <v>1.027027027027027</v>
      </c>
      <c r="BE33" s="2">
        <f t="shared" si="179"/>
        <v>1659</v>
      </c>
      <c r="BF33" s="2">
        <f t="shared" si="164"/>
        <v>1185</v>
      </c>
      <c r="BG33" s="2">
        <f t="shared" si="165"/>
        <v>1422.7707</v>
      </c>
      <c r="BH33" s="2">
        <f t="shared" si="166"/>
        <v>1697</v>
      </c>
      <c r="BI33" s="2">
        <f t="shared" si="167"/>
        <v>1963.5669999999996</v>
      </c>
    </row>
    <row r="34" spans="1:61" x14ac:dyDescent="0.25">
      <c r="A34" t="s">
        <v>14</v>
      </c>
      <c r="B34" t="s">
        <v>6</v>
      </c>
      <c r="C34" s="13">
        <v>0</v>
      </c>
      <c r="D34" s="13">
        <v>0</v>
      </c>
      <c r="E34" s="13">
        <v>0</v>
      </c>
      <c r="F34" s="13">
        <v>0</v>
      </c>
      <c r="G34" s="2">
        <v>0</v>
      </c>
      <c r="H34" s="10">
        <f>-G34/G$38</f>
        <v>0</v>
      </c>
      <c r="J34" s="13">
        <v>0</v>
      </c>
      <c r="K34" s="13">
        <v>0</v>
      </c>
      <c r="L34" s="13">
        <v>0</v>
      </c>
      <c r="M34" s="13">
        <v>0</v>
      </c>
      <c r="N34" s="3">
        <v>0</v>
      </c>
      <c r="O34" s="10">
        <f>-N34/N$38</f>
        <v>0</v>
      </c>
      <c r="Q34" s="13">
        <v>0</v>
      </c>
      <c r="R34" s="13">
        <v>0</v>
      </c>
      <c r="S34" s="13">
        <v>0</v>
      </c>
      <c r="T34" s="13">
        <v>0</v>
      </c>
      <c r="U34" s="3">
        <v>0</v>
      </c>
      <c r="V34" s="10">
        <f>-U34/U$38</f>
        <v>0</v>
      </c>
      <c r="X34" s="2" t="str">
        <f t="shared" si="168"/>
        <v/>
      </c>
      <c r="Y34" s="2" t="str">
        <f t="shared" si="147"/>
        <v/>
      </c>
      <c r="Z34" s="2" t="str">
        <f t="shared" si="148"/>
        <v/>
      </c>
      <c r="AA34" s="2" t="str">
        <f t="shared" si="149"/>
        <v/>
      </c>
      <c r="AB34" s="2" t="str">
        <f t="shared" si="150"/>
        <v/>
      </c>
      <c r="AC34" s="16" t="e">
        <f t="shared" si="169"/>
        <v>#DIV/0!</v>
      </c>
      <c r="AE34" s="2" t="str">
        <f t="shared" si="170"/>
        <v/>
      </c>
      <c r="AF34" s="2" t="str">
        <f t="shared" si="151"/>
        <v/>
      </c>
      <c r="AG34" s="2" t="str">
        <f t="shared" si="152"/>
        <v/>
      </c>
      <c r="AH34" s="2" t="str">
        <f t="shared" si="153"/>
        <v/>
      </c>
      <c r="AI34" s="2" t="str">
        <f t="shared" si="154"/>
        <v/>
      </c>
      <c r="AJ34" s="16" t="e">
        <f t="shared" si="171"/>
        <v>#DIV/0!</v>
      </c>
      <c r="AK34" s="19" t="e">
        <f t="shared" si="172"/>
        <v>#DIV/0!</v>
      </c>
      <c r="AM34" s="3">
        <f t="shared" si="173"/>
        <v>0</v>
      </c>
      <c r="AN34" s="3">
        <f t="shared" si="174"/>
        <v>0</v>
      </c>
      <c r="AO34" s="3">
        <f t="shared" si="175"/>
        <v>0</v>
      </c>
      <c r="AP34" s="3">
        <f t="shared" ref="AP34:AP37" si="180">T34</f>
        <v>0</v>
      </c>
      <c r="AQ34" s="3">
        <f t="shared" si="176"/>
        <v>0</v>
      </c>
      <c r="AS34" s="3">
        <f t="shared" si="177"/>
        <v>0</v>
      </c>
      <c r="AT34" s="3">
        <f t="shared" si="156"/>
        <v>0</v>
      </c>
      <c r="AU34" s="3">
        <f t="shared" si="157"/>
        <v>0</v>
      </c>
      <c r="AV34" s="3">
        <f t="shared" si="158"/>
        <v>0</v>
      </c>
      <c r="AW34" s="3">
        <f t="shared" si="159"/>
        <v>0</v>
      </c>
      <c r="AY34" s="34" t="str">
        <f t="shared" si="178"/>
        <v/>
      </c>
      <c r="AZ34" s="34" t="str">
        <f t="shared" si="160"/>
        <v/>
      </c>
      <c r="BA34" s="34" t="str">
        <f t="shared" si="161"/>
        <v/>
      </c>
      <c r="BB34" s="34" t="str">
        <f t="shared" si="162"/>
        <v/>
      </c>
      <c r="BC34" s="34" t="str">
        <f t="shared" si="163"/>
        <v/>
      </c>
      <c r="BE34" s="2">
        <f t="shared" si="179"/>
        <v>0</v>
      </c>
      <c r="BF34" s="2">
        <f t="shared" si="164"/>
        <v>0</v>
      </c>
      <c r="BG34" s="2">
        <f t="shared" si="165"/>
        <v>0</v>
      </c>
      <c r="BH34" s="2">
        <f t="shared" si="166"/>
        <v>0</v>
      </c>
      <c r="BI34" s="2">
        <f t="shared" si="167"/>
        <v>0</v>
      </c>
    </row>
    <row r="35" spans="1:61" x14ac:dyDescent="0.25">
      <c r="A35" t="s">
        <v>14</v>
      </c>
      <c r="B35" t="s">
        <v>7</v>
      </c>
      <c r="C35" s="13">
        <v>0</v>
      </c>
      <c r="D35" s="13">
        <v>0</v>
      </c>
      <c r="E35" s="13">
        <v>0</v>
      </c>
      <c r="F35" s="13">
        <v>0</v>
      </c>
      <c r="G35" s="2">
        <v>0</v>
      </c>
      <c r="H35" s="10">
        <f>-G35/G$38</f>
        <v>0</v>
      </c>
      <c r="J35" s="13">
        <v>0</v>
      </c>
      <c r="K35" s="13">
        <v>0</v>
      </c>
      <c r="L35" s="13">
        <v>0</v>
      </c>
      <c r="M35" s="13">
        <v>0</v>
      </c>
      <c r="N35" s="3">
        <v>0</v>
      </c>
      <c r="O35" s="10">
        <f>-N35/N$38</f>
        <v>0</v>
      </c>
      <c r="Q35" s="13">
        <v>0</v>
      </c>
      <c r="R35" s="13">
        <v>0</v>
      </c>
      <c r="S35" s="13">
        <v>0</v>
      </c>
      <c r="T35" s="13">
        <v>0</v>
      </c>
      <c r="U35" s="3">
        <v>0</v>
      </c>
      <c r="V35" s="10">
        <f>-U35/U$38</f>
        <v>0</v>
      </c>
      <c r="X35" s="2" t="str">
        <f t="shared" si="168"/>
        <v/>
      </c>
      <c r="Y35" s="2" t="str">
        <f t="shared" si="147"/>
        <v/>
      </c>
      <c r="Z35" s="2" t="str">
        <f t="shared" si="148"/>
        <v/>
      </c>
      <c r="AA35" s="2" t="str">
        <f t="shared" si="149"/>
        <v/>
      </c>
      <c r="AB35" s="2" t="str">
        <f t="shared" si="150"/>
        <v/>
      </c>
      <c r="AC35" s="16" t="e">
        <f t="shared" si="169"/>
        <v>#DIV/0!</v>
      </c>
      <c r="AE35" s="2" t="str">
        <f t="shared" si="170"/>
        <v/>
      </c>
      <c r="AF35" s="2" t="str">
        <f t="shared" si="151"/>
        <v/>
      </c>
      <c r="AG35" s="2" t="str">
        <f t="shared" si="152"/>
        <v/>
      </c>
      <c r="AH35" s="2" t="str">
        <f t="shared" si="153"/>
        <v/>
      </c>
      <c r="AI35" s="2" t="str">
        <f t="shared" si="154"/>
        <v/>
      </c>
      <c r="AJ35" s="16" t="e">
        <f t="shared" si="171"/>
        <v>#DIV/0!</v>
      </c>
      <c r="AK35" s="19" t="e">
        <f t="shared" si="172"/>
        <v>#DIV/0!</v>
      </c>
      <c r="AM35" s="3">
        <f t="shared" si="173"/>
        <v>0</v>
      </c>
      <c r="AN35" s="3">
        <f t="shared" si="174"/>
        <v>0</v>
      </c>
      <c r="AO35" s="3">
        <f t="shared" si="175"/>
        <v>0</v>
      </c>
      <c r="AP35" s="3">
        <f t="shared" si="180"/>
        <v>0</v>
      </c>
      <c r="AQ35" s="3">
        <f t="shared" si="176"/>
        <v>0</v>
      </c>
      <c r="AS35" s="3">
        <f t="shared" si="177"/>
        <v>0</v>
      </c>
      <c r="AT35" s="3">
        <f t="shared" si="156"/>
        <v>0</v>
      </c>
      <c r="AU35" s="3">
        <f t="shared" si="157"/>
        <v>0</v>
      </c>
      <c r="AV35" s="3">
        <f t="shared" si="158"/>
        <v>0</v>
      </c>
      <c r="AW35" s="3">
        <f t="shared" si="159"/>
        <v>0</v>
      </c>
      <c r="AY35" s="34" t="str">
        <f t="shared" si="178"/>
        <v/>
      </c>
      <c r="AZ35" s="34" t="str">
        <f t="shared" si="160"/>
        <v/>
      </c>
      <c r="BA35" s="34" t="str">
        <f t="shared" si="161"/>
        <v/>
      </c>
      <c r="BB35" s="34" t="str">
        <f t="shared" si="162"/>
        <v/>
      </c>
      <c r="BC35" s="34" t="str">
        <f t="shared" si="163"/>
        <v/>
      </c>
      <c r="BE35" s="2">
        <f t="shared" si="179"/>
        <v>0</v>
      </c>
      <c r="BF35" s="2">
        <f t="shared" si="164"/>
        <v>0</v>
      </c>
      <c r="BG35" s="2">
        <f t="shared" si="165"/>
        <v>0</v>
      </c>
      <c r="BH35" s="2">
        <f t="shared" si="166"/>
        <v>0</v>
      </c>
      <c r="BI35" s="2">
        <f t="shared" si="167"/>
        <v>0</v>
      </c>
    </row>
    <row r="36" spans="1:61" x14ac:dyDescent="0.25">
      <c r="A36" t="s">
        <v>14</v>
      </c>
      <c r="B36" t="s">
        <v>8</v>
      </c>
      <c r="C36" s="13">
        <v>0</v>
      </c>
      <c r="D36" s="13">
        <v>0</v>
      </c>
      <c r="E36" s="13">
        <v>0</v>
      </c>
      <c r="F36" s="13">
        <v>0</v>
      </c>
      <c r="G36" s="2">
        <v>0</v>
      </c>
      <c r="H36" s="10">
        <f>-G36/G$38</f>
        <v>0</v>
      </c>
      <c r="J36" s="13">
        <v>0</v>
      </c>
      <c r="K36" s="13">
        <v>0</v>
      </c>
      <c r="L36" s="13">
        <v>0</v>
      </c>
      <c r="M36" s="13">
        <v>0</v>
      </c>
      <c r="N36" s="3">
        <v>0</v>
      </c>
      <c r="O36" s="10">
        <f>-N36/N$38</f>
        <v>0</v>
      </c>
      <c r="Q36" s="13">
        <v>0</v>
      </c>
      <c r="R36" s="13">
        <v>0</v>
      </c>
      <c r="S36" s="13">
        <v>0</v>
      </c>
      <c r="T36" s="13">
        <v>0</v>
      </c>
      <c r="U36" s="3">
        <v>0</v>
      </c>
      <c r="V36" s="10">
        <f>-U36/U$38</f>
        <v>0</v>
      </c>
      <c r="X36" s="2" t="str">
        <f t="shared" si="168"/>
        <v/>
      </c>
      <c r="Y36" s="2" t="str">
        <f t="shared" si="147"/>
        <v/>
      </c>
      <c r="Z36" s="2" t="str">
        <f t="shared" si="148"/>
        <v/>
      </c>
      <c r="AA36" s="2" t="str">
        <f t="shared" si="149"/>
        <v/>
      </c>
      <c r="AB36" s="2" t="str">
        <f t="shared" si="150"/>
        <v/>
      </c>
      <c r="AC36" s="16" t="e">
        <f t="shared" si="169"/>
        <v>#DIV/0!</v>
      </c>
      <c r="AE36" s="2" t="str">
        <f t="shared" si="170"/>
        <v/>
      </c>
      <c r="AF36" s="2" t="str">
        <f t="shared" si="151"/>
        <v/>
      </c>
      <c r="AG36" s="2" t="str">
        <f t="shared" si="152"/>
        <v/>
      </c>
      <c r="AH36" s="2" t="str">
        <f t="shared" si="153"/>
        <v/>
      </c>
      <c r="AI36" s="2" t="str">
        <f t="shared" si="154"/>
        <v/>
      </c>
      <c r="AJ36" s="16" t="e">
        <f t="shared" si="171"/>
        <v>#DIV/0!</v>
      </c>
      <c r="AK36" s="19" t="e">
        <f t="shared" si="172"/>
        <v>#DIV/0!</v>
      </c>
      <c r="AM36" s="3">
        <f t="shared" si="173"/>
        <v>0</v>
      </c>
      <c r="AN36" s="3">
        <f t="shared" si="174"/>
        <v>0</v>
      </c>
      <c r="AO36" s="3">
        <f t="shared" si="175"/>
        <v>0</v>
      </c>
      <c r="AP36" s="3">
        <f t="shared" si="180"/>
        <v>0</v>
      </c>
      <c r="AQ36" s="3">
        <f t="shared" si="176"/>
        <v>0</v>
      </c>
      <c r="AS36" s="3">
        <f t="shared" si="177"/>
        <v>0</v>
      </c>
      <c r="AT36" s="3">
        <f t="shared" si="156"/>
        <v>0</v>
      </c>
      <c r="AU36" s="3">
        <f t="shared" si="157"/>
        <v>0</v>
      </c>
      <c r="AV36" s="3">
        <f t="shared" si="158"/>
        <v>0</v>
      </c>
      <c r="AW36" s="3">
        <f t="shared" si="159"/>
        <v>0</v>
      </c>
      <c r="AY36" s="34" t="str">
        <f t="shared" si="178"/>
        <v/>
      </c>
      <c r="AZ36" s="34" t="str">
        <f t="shared" si="160"/>
        <v/>
      </c>
      <c r="BA36" s="34" t="str">
        <f t="shared" si="161"/>
        <v/>
      </c>
      <c r="BB36" s="34" t="str">
        <f t="shared" si="162"/>
        <v/>
      </c>
      <c r="BC36" s="34" t="str">
        <f t="shared" si="163"/>
        <v/>
      </c>
      <c r="BE36" s="2">
        <f t="shared" si="179"/>
        <v>0</v>
      </c>
      <c r="BF36" s="2">
        <f t="shared" si="164"/>
        <v>0</v>
      </c>
      <c r="BG36" s="2">
        <f t="shared" si="165"/>
        <v>0</v>
      </c>
      <c r="BH36" s="2">
        <f t="shared" si="166"/>
        <v>0</v>
      </c>
      <c r="BI36" s="2">
        <f t="shared" si="167"/>
        <v>0</v>
      </c>
    </row>
    <row r="37" spans="1:61" x14ac:dyDescent="0.25">
      <c r="A37" t="s">
        <v>14</v>
      </c>
      <c r="B37" t="s">
        <v>9</v>
      </c>
      <c r="C37" s="13">
        <v>0</v>
      </c>
      <c r="D37" s="13">
        <v>0</v>
      </c>
      <c r="E37" s="13">
        <v>0</v>
      </c>
      <c r="F37" s="13">
        <v>0</v>
      </c>
      <c r="G37" s="2">
        <v>1</v>
      </c>
      <c r="H37" s="10">
        <f>-G37/G$38</f>
        <v>-6.8498593038898963E-4</v>
      </c>
      <c r="J37" s="13">
        <v>0</v>
      </c>
      <c r="K37" s="13">
        <v>0</v>
      </c>
      <c r="L37" s="13">
        <v>0</v>
      </c>
      <c r="M37" s="13">
        <v>0</v>
      </c>
      <c r="N37" s="3">
        <v>2.2200000000000001E-2</v>
      </c>
      <c r="O37" s="10">
        <f>-N37/N$38</f>
        <v>-6.8498593038898942E-4</v>
      </c>
      <c r="Q37" s="13">
        <v>0</v>
      </c>
      <c r="R37" s="13">
        <v>0</v>
      </c>
      <c r="S37" s="13">
        <v>0</v>
      </c>
      <c r="T37" s="13">
        <v>0</v>
      </c>
      <c r="U37" s="3">
        <v>2.2800000000000001E-2</v>
      </c>
      <c r="V37" s="10">
        <f>-U37/U$38</f>
        <v>-6.8498593038898931E-4</v>
      </c>
      <c r="X37" s="2" t="str">
        <f t="shared" si="168"/>
        <v/>
      </c>
      <c r="Y37" s="2" t="str">
        <f t="shared" si="147"/>
        <v/>
      </c>
      <c r="Z37" s="2" t="str">
        <f t="shared" si="148"/>
        <v/>
      </c>
      <c r="AA37" s="2" t="str">
        <f t="shared" si="149"/>
        <v/>
      </c>
      <c r="AB37" s="2">
        <f t="shared" si="150"/>
        <v>22200</v>
      </c>
      <c r="AC37" s="16">
        <f t="shared" si="169"/>
        <v>22200</v>
      </c>
      <c r="AE37" s="2" t="str">
        <f t="shared" si="170"/>
        <v/>
      </c>
      <c r="AF37" s="2" t="str">
        <f t="shared" si="151"/>
        <v/>
      </c>
      <c r="AG37" s="2" t="str">
        <f t="shared" si="152"/>
        <v/>
      </c>
      <c r="AH37" s="2" t="str">
        <f t="shared" si="153"/>
        <v/>
      </c>
      <c r="AI37" s="2">
        <f t="shared" si="154"/>
        <v>22800</v>
      </c>
      <c r="AJ37" s="16">
        <f t="shared" si="171"/>
        <v>22800</v>
      </c>
      <c r="AK37" s="19">
        <f t="shared" si="172"/>
        <v>1.027027027027027</v>
      </c>
      <c r="AM37" s="3">
        <f t="shared" si="173"/>
        <v>0</v>
      </c>
      <c r="AN37" s="3">
        <f t="shared" si="174"/>
        <v>0</v>
      </c>
      <c r="AO37" s="3">
        <f t="shared" si="175"/>
        <v>0</v>
      </c>
      <c r="AP37" s="3">
        <f t="shared" si="180"/>
        <v>0</v>
      </c>
      <c r="AQ37" s="3">
        <f t="shared" si="176"/>
        <v>2.2800000000000001E-2</v>
      </c>
      <c r="AS37" s="3">
        <f t="shared" si="177"/>
        <v>0</v>
      </c>
      <c r="AT37" s="3">
        <f t="shared" si="156"/>
        <v>0</v>
      </c>
      <c r="AU37" s="3">
        <f t="shared" si="157"/>
        <v>0</v>
      </c>
      <c r="AV37" s="3">
        <f t="shared" si="158"/>
        <v>0</v>
      </c>
      <c r="AW37" s="3">
        <f t="shared" si="159"/>
        <v>2.2200000000000001E-2</v>
      </c>
      <c r="AY37" s="34" t="str">
        <f t="shared" si="178"/>
        <v/>
      </c>
      <c r="AZ37" s="34" t="str">
        <f t="shared" si="160"/>
        <v/>
      </c>
      <c r="BA37" s="34" t="str">
        <f t="shared" si="161"/>
        <v/>
      </c>
      <c r="BB37" s="34" t="str">
        <f t="shared" si="162"/>
        <v/>
      </c>
      <c r="BC37" s="34">
        <f t="shared" si="163"/>
        <v>1.027027027027027</v>
      </c>
      <c r="BE37" s="2">
        <f t="shared" si="179"/>
        <v>0</v>
      </c>
      <c r="BF37" s="2">
        <f t="shared" si="164"/>
        <v>0</v>
      </c>
      <c r="BG37" s="2">
        <f t="shared" si="165"/>
        <v>0</v>
      </c>
      <c r="BH37" s="2">
        <f t="shared" si="166"/>
        <v>0</v>
      </c>
      <c r="BI37" s="2">
        <f t="shared" si="167"/>
        <v>1</v>
      </c>
    </row>
    <row r="38" spans="1:61" x14ac:dyDescent="0.25">
      <c r="A38" s="4" t="s">
        <v>14</v>
      </c>
      <c r="B38" s="4" t="s">
        <v>10</v>
      </c>
      <c r="C38" s="5">
        <f t="shared" ref="C38:F38" si="181">C31+C32-C33-C34-C35-C36-C37</f>
        <v>-858</v>
      </c>
      <c r="D38" s="5">
        <f t="shared" si="181"/>
        <v>-494</v>
      </c>
      <c r="E38" s="5">
        <f t="shared" si="181"/>
        <v>-751.90470000000005</v>
      </c>
      <c r="F38" s="5">
        <f t="shared" si="181"/>
        <v>-1158</v>
      </c>
      <c r="G38" s="5">
        <f>G31+G32-G33-G34-G35-G36-G37</f>
        <v>1459.8840000000005</v>
      </c>
      <c r="H38" s="11">
        <f>G38/G$38</f>
        <v>1</v>
      </c>
      <c r="I38" s="4"/>
      <c r="J38" s="6">
        <f t="shared" ref="J38:M38" si="182">J31+J32-J33-J34-J35-J36-J37</f>
        <v>-19.03</v>
      </c>
      <c r="K38" s="6">
        <f t="shared" si="182"/>
        <v>-10.950000000000001</v>
      </c>
      <c r="L38" s="6">
        <f t="shared" si="182"/>
        <v>-16.692284340000004</v>
      </c>
      <c r="M38" s="6">
        <f t="shared" si="182"/>
        <v>-25.679999999999996</v>
      </c>
      <c r="N38" s="6">
        <f>N31+N32-N33-N34-N35-N36-N37</f>
        <v>32.409424800000018</v>
      </c>
      <c r="O38" s="11">
        <f>N38/N$38</f>
        <v>1</v>
      </c>
      <c r="P38" s="4"/>
      <c r="Q38" s="6">
        <f t="shared" ref="Q38:T38" si="183">Q31+Q32-Q33-Q34-Q35-Q36-Q37</f>
        <v>-19.544324324324329</v>
      </c>
      <c r="R38" s="6">
        <f t="shared" si="183"/>
        <v>-11.245945945945945</v>
      </c>
      <c r="S38" s="6">
        <f t="shared" si="183"/>
        <v>-17.143427160000002</v>
      </c>
      <c r="T38" s="6">
        <f t="shared" si="183"/>
        <v>-26.38</v>
      </c>
      <c r="U38" s="6">
        <f>U31+U32-U33-U34-U35-U36-U37</f>
        <v>33.285355200000026</v>
      </c>
      <c r="V38" s="11">
        <f>U38/U$38</f>
        <v>1</v>
      </c>
      <c r="X38" s="5">
        <f t="shared" si="168"/>
        <v>22179.48717948718</v>
      </c>
      <c r="Y38" s="5">
        <f t="shared" si="147"/>
        <v>22165.991902834012</v>
      </c>
      <c r="Z38" s="5">
        <f t="shared" si="148"/>
        <v>22200.000000000004</v>
      </c>
      <c r="AA38" s="5">
        <f t="shared" si="149"/>
        <v>22176.165803108805</v>
      </c>
      <c r="AB38" s="5">
        <f t="shared" si="150"/>
        <v>22200.000000000004</v>
      </c>
      <c r="AC38" s="17">
        <f t="shared" si="169"/>
        <v>22184.328977085999</v>
      </c>
      <c r="AD38" s="4"/>
      <c r="AE38" s="5">
        <f t="shared" si="170"/>
        <v>22778.932778932784</v>
      </c>
      <c r="AF38" s="5">
        <f t="shared" si="151"/>
        <v>22765.072765072764</v>
      </c>
      <c r="AG38" s="5">
        <f t="shared" si="152"/>
        <v>22800</v>
      </c>
      <c r="AH38" s="5">
        <f t="shared" si="153"/>
        <v>22780.656303972366</v>
      </c>
      <c r="AI38" s="5">
        <f t="shared" si="154"/>
        <v>22800.000000000011</v>
      </c>
      <c r="AJ38" s="17">
        <f t="shared" si="171"/>
        <v>22784.932369595586</v>
      </c>
      <c r="AK38" s="20">
        <f t="shared" si="172"/>
        <v>1.0270733179772957</v>
      </c>
      <c r="AM38" s="6">
        <f t="shared" ref="AM38:AP38" si="184">AM31+AM32-AM33-AM34-AM35-AM36-AM37</f>
        <v>-19.544324324324329</v>
      </c>
      <c r="AN38" s="6">
        <f t="shared" si="184"/>
        <v>-11.245945945945945</v>
      </c>
      <c r="AO38" s="6">
        <f t="shared" si="184"/>
        <v>-17.143427160000002</v>
      </c>
      <c r="AP38" s="6">
        <f t="shared" si="184"/>
        <v>-26.38</v>
      </c>
      <c r="AQ38" s="6">
        <f t="shared" si="176"/>
        <v>33.285355200000026</v>
      </c>
      <c r="AS38" s="6">
        <f t="shared" ref="AS38:AW38" si="185">AS31+AS32-AS33-AS34-AS35-AS36-AS37</f>
        <v>-19.03</v>
      </c>
      <c r="AT38" s="6">
        <f t="shared" si="185"/>
        <v>-10.950000000000001</v>
      </c>
      <c r="AU38" s="6">
        <f t="shared" si="185"/>
        <v>-16.692284340000004</v>
      </c>
      <c r="AV38" s="6">
        <f t="shared" si="185"/>
        <v>-25.679999999999996</v>
      </c>
      <c r="AW38" s="6">
        <f t="shared" si="185"/>
        <v>32.409424800000018</v>
      </c>
      <c r="AY38" s="35">
        <f t="shared" si="178"/>
        <v>1.0270270270270272</v>
      </c>
      <c r="AZ38" s="35">
        <f t="shared" si="160"/>
        <v>1.0270270270270268</v>
      </c>
      <c r="BA38" s="35">
        <f t="shared" si="161"/>
        <v>1.027027027027027</v>
      </c>
      <c r="BB38" s="35">
        <f t="shared" si="162"/>
        <v>1.0272585669781933</v>
      </c>
      <c r="BC38" s="35">
        <f t="shared" si="163"/>
        <v>1.0270270270270272</v>
      </c>
      <c r="BE38" s="5">
        <f t="shared" ref="BE38:BI38" si="186">BE31+BE32-BE33-BE34-BE35-BE36-BE37</f>
        <v>-858</v>
      </c>
      <c r="BF38" s="5">
        <f t="shared" si="186"/>
        <v>-494</v>
      </c>
      <c r="BG38" s="5">
        <f t="shared" si="186"/>
        <v>-751.90470000000005</v>
      </c>
      <c r="BH38" s="5">
        <f t="shared" si="186"/>
        <v>-1158</v>
      </c>
      <c r="BI38" s="5">
        <f t="shared" si="186"/>
        <v>1459.8840000000005</v>
      </c>
    </row>
    <row r="39" spans="1:61" x14ac:dyDescent="0.25">
      <c r="H39" s="9"/>
      <c r="O39" s="9"/>
      <c r="V39" s="9"/>
      <c r="AK39" s="21"/>
    </row>
    <row r="40" spans="1:61" x14ac:dyDescent="0.25">
      <c r="A40" s="7" t="s">
        <v>18</v>
      </c>
      <c r="B40" t="s">
        <v>3</v>
      </c>
      <c r="C40" s="2">
        <v>14079</v>
      </c>
      <c r="D40" s="2">
        <v>14894</v>
      </c>
      <c r="E40" s="2">
        <v>16514.450999999994</v>
      </c>
      <c r="F40" s="2">
        <v>24983</v>
      </c>
      <c r="G40" s="2">
        <v>0</v>
      </c>
      <c r="H40" s="10" t="e">
        <f>G40/G$47</f>
        <v>#DIV/0!</v>
      </c>
      <c r="J40" s="3">
        <v>94.94</v>
      </c>
      <c r="K40" s="3">
        <v>82.39</v>
      </c>
      <c r="L40" s="3">
        <v>79.073687649999997</v>
      </c>
      <c r="M40" s="3">
        <v>115.21</v>
      </c>
      <c r="N40" s="3">
        <v>0</v>
      </c>
      <c r="O40" s="10" t="e">
        <f>N40/N$47</f>
        <v>#DIV/0!</v>
      </c>
      <c r="Q40" s="12" t="s">
        <v>17</v>
      </c>
      <c r="R40" s="12" t="s">
        <v>17</v>
      </c>
      <c r="S40" s="12">
        <v>81.83</v>
      </c>
      <c r="T40" s="3">
        <v>119.13</v>
      </c>
      <c r="U40" s="3">
        <v>0</v>
      </c>
      <c r="V40" s="10" t="e">
        <f>U40/U$47</f>
        <v>#DIV/0!</v>
      </c>
      <c r="X40" s="2">
        <f>IF(ISNUMBER(J40/C40),J40/C40*10^6,"")</f>
        <v>6743.3766602741671</v>
      </c>
      <c r="Y40" s="2">
        <f t="shared" ref="Y40:Y47" si="187">IF(ISNUMBER(K40/D40),K40/D40*10^6,"")</f>
        <v>5531.7577548005911</v>
      </c>
      <c r="Z40" s="2">
        <f t="shared" ref="Z40:Z47" si="188">IF(ISNUMBER(L40/E40),L40/E40*10^6,"")</f>
        <v>4788.1511562206961</v>
      </c>
      <c r="AA40" s="2">
        <f t="shared" ref="AA40:AA47" si="189">IF(ISNUMBER(M40/F40),M40/F40*10^6,"")</f>
        <v>4611.5358443741734</v>
      </c>
      <c r="AB40" s="2" t="str">
        <f t="shared" ref="AB40:AB47" si="190">IF(ISNUMBER(N40/G40),N40/G40*10^6,"")</f>
        <v/>
      </c>
      <c r="AC40" s="16">
        <f>AVERAGE(X40:AB40)</f>
        <v>5418.7053539174067</v>
      </c>
      <c r="AE40" s="2" t="str">
        <f>IF(ISNUMBER(Q40/C40),Q40/C40*10^6,"")</f>
        <v/>
      </c>
      <c r="AF40" s="2" t="str">
        <f t="shared" ref="AF40:AF47" si="191">IF(ISNUMBER(R40/D40),R40/D40*10^6,"")</f>
        <v/>
      </c>
      <c r="AG40" s="2">
        <f t="shared" ref="AG40:AG47" si="192">IF(ISNUMBER(S40/E40),S40/E40*10^6,"")</f>
        <v>4955.0542128224561</v>
      </c>
      <c r="AH40" s="2">
        <f t="shared" ref="AH40:AH47" si="193">IF(ISNUMBER(T40/F40),T40/F40*10^6,"")</f>
        <v>4768.442540927831</v>
      </c>
      <c r="AI40" s="2" t="str">
        <f t="shared" ref="AI40:AI47" si="194">IF(ISNUMBER(U40/G40),U40/G40*10^6,"")</f>
        <v/>
      </c>
      <c r="AJ40" s="16">
        <f>AVERAGE(AE40:AI40)</f>
        <v>4861.7483768751435</v>
      </c>
      <c r="AK40" s="33">
        <f>AJ40/AVERAGE(Z40:AA40)</f>
        <v>1.0344489931563599</v>
      </c>
      <c r="AM40" s="18">
        <f t="shared" ref="AM40:AM42" si="195">J40*$AK40</f>
        <v>98.210587410264807</v>
      </c>
      <c r="AN40" s="18">
        <f t="shared" ref="AN40:AN42" si="196">K40*$AK40</f>
        <v>85.22825254615249</v>
      </c>
      <c r="AO40" s="3">
        <f>S40</f>
        <v>81.83</v>
      </c>
      <c r="AP40" s="3">
        <f>T40</f>
        <v>119.13</v>
      </c>
      <c r="AQ40" s="3">
        <f>U40</f>
        <v>0</v>
      </c>
      <c r="AS40" s="3">
        <f>J40</f>
        <v>94.94</v>
      </c>
      <c r="AT40" s="3">
        <f t="shared" ref="AT40:AT42" si="197">K40</f>
        <v>82.39</v>
      </c>
      <c r="AU40" s="3">
        <f t="shared" ref="AU40:AU46" si="198">L40</f>
        <v>79.073687649999997</v>
      </c>
      <c r="AV40" s="3">
        <f t="shared" ref="AV40:AV46" si="199">M40</f>
        <v>115.21</v>
      </c>
      <c r="AW40" s="3">
        <f t="shared" ref="AW40:AW46" si="200">N40</f>
        <v>0</v>
      </c>
      <c r="AY40" s="34">
        <f>IF(AS40=0,IF(AM40=0,"","Error"),AM40/AS40)</f>
        <v>1.0344489931563599</v>
      </c>
      <c r="AZ40" s="34">
        <f t="shared" ref="AZ40:AZ47" si="201">IF(AT40=0,IF(AN40=0,"","Error"),AN40/AT40)</f>
        <v>1.0344489931563599</v>
      </c>
      <c r="BA40" s="34">
        <f t="shared" ref="BA40:BA47" si="202">IF(AU40=0,IF(AO40=0,"","Error"),AO40/AU40)</f>
        <v>1.0348575162220857</v>
      </c>
      <c r="BB40" s="34">
        <f t="shared" ref="BB40:BB47" si="203">IF(AV40=0,IF(AP40=0,"","Error"),AP40/AV40)</f>
        <v>1.0340248242340075</v>
      </c>
      <c r="BC40" s="34" t="str">
        <f t="shared" ref="BC40:BC47" si="204">IF(AW40=0,IF(AQ40=0,"","Error"),AQ40/AW40)</f>
        <v/>
      </c>
      <c r="BE40" s="2">
        <f>C40</f>
        <v>14079</v>
      </c>
      <c r="BF40" s="2">
        <f t="shared" ref="BF40:BF45" si="205">D40</f>
        <v>14894</v>
      </c>
      <c r="BG40" s="2">
        <f t="shared" ref="BG40:BG46" si="206">E40</f>
        <v>16514.450999999994</v>
      </c>
      <c r="BH40" s="2">
        <f t="shared" ref="BH40:BH46" si="207">F40</f>
        <v>24983</v>
      </c>
      <c r="BI40" s="2">
        <f t="shared" ref="BI40:BI46" si="208">G40</f>
        <v>0</v>
      </c>
    </row>
    <row r="41" spans="1:61" x14ac:dyDescent="0.25">
      <c r="A41" t="s">
        <v>18</v>
      </c>
      <c r="B41" t="s">
        <v>4</v>
      </c>
      <c r="C41" s="2">
        <v>2280</v>
      </c>
      <c r="D41" s="2">
        <v>1869</v>
      </c>
      <c r="E41" s="2">
        <v>3495.6049999999741</v>
      </c>
      <c r="F41" s="2">
        <v>4644</v>
      </c>
      <c r="G41" s="2">
        <v>0</v>
      </c>
      <c r="H41" s="10" t="e">
        <f>G41/G$47</f>
        <v>#DIV/0!</v>
      </c>
      <c r="J41" s="3">
        <v>4.7400000000000091</v>
      </c>
      <c r="K41" s="3">
        <v>2.2900000000000205</v>
      </c>
      <c r="L41" s="3">
        <v>8.8292179766000203</v>
      </c>
      <c r="M41" s="3">
        <v>10.630000000000024</v>
      </c>
      <c r="N41" s="3">
        <v>0</v>
      </c>
      <c r="O41" s="10" t="e">
        <f>N41/N$47</f>
        <v>#DIV/0!</v>
      </c>
      <c r="Q41" s="12" t="s">
        <v>17</v>
      </c>
      <c r="R41" s="12" t="s">
        <v>17</v>
      </c>
      <c r="S41" s="12">
        <f>9.13</f>
        <v>9.1300000000000008</v>
      </c>
      <c r="T41" s="3">
        <v>11.140000000000015</v>
      </c>
      <c r="U41" s="3">
        <v>0</v>
      </c>
      <c r="V41" s="10" t="e">
        <f>U41/U$47</f>
        <v>#DIV/0!</v>
      </c>
      <c r="X41" s="2">
        <f t="shared" ref="X41:X47" si="209">IF(ISNUMBER(J41/C41),J41/C41*10^6,"")</f>
        <v>2078.9473684210566</v>
      </c>
      <c r="Y41" s="2">
        <f t="shared" si="187"/>
        <v>1225.2541466024722</v>
      </c>
      <c r="Z41" s="2">
        <f t="shared" si="188"/>
        <v>2525.8053975206253</v>
      </c>
      <c r="AA41" s="2">
        <f t="shared" si="189"/>
        <v>2288.9750215331665</v>
      </c>
      <c r="AB41" s="2" t="str">
        <f t="shared" si="190"/>
        <v/>
      </c>
      <c r="AC41" s="16">
        <f t="shared" ref="AC41:AC47" si="210">AVERAGE(X41:AB41)</f>
        <v>2029.7454835193303</v>
      </c>
      <c r="AE41" s="2" t="str">
        <f t="shared" ref="AE41:AE47" si="211">IF(ISNUMBER(Q41/C41),Q41/C41*10^6,"")</f>
        <v/>
      </c>
      <c r="AF41" s="2" t="str">
        <f t="shared" si="191"/>
        <v/>
      </c>
      <c r="AG41" s="2">
        <f t="shared" si="192"/>
        <v>2611.851167394505</v>
      </c>
      <c r="AH41" s="2">
        <f t="shared" si="193"/>
        <v>2398.7941429801931</v>
      </c>
      <c r="AI41" s="2" t="str">
        <f t="shared" si="194"/>
        <v/>
      </c>
      <c r="AJ41" s="16">
        <f t="shared" ref="AJ41:AJ47" si="212">AVERAGE(AE41:AI41)</f>
        <v>2505.322655187349</v>
      </c>
      <c r="AK41" s="33">
        <f>AJ41/AVERAGE(Z41:AA41)</f>
        <v>1.0406799218809231</v>
      </c>
      <c r="AM41" s="18">
        <f t="shared" si="195"/>
        <v>4.9328228297155849</v>
      </c>
      <c r="AN41" s="18">
        <f t="shared" si="196"/>
        <v>2.3831570211073352</v>
      </c>
      <c r="AO41" s="3">
        <f t="shared" ref="AO41:AQ47" si="213">S41</f>
        <v>9.1300000000000008</v>
      </c>
      <c r="AP41" s="3">
        <f t="shared" si="213"/>
        <v>11.140000000000015</v>
      </c>
      <c r="AQ41" s="3">
        <f t="shared" si="213"/>
        <v>0</v>
      </c>
      <c r="AS41" s="3">
        <f t="shared" ref="AS41:AT46" si="214">J41</f>
        <v>4.7400000000000091</v>
      </c>
      <c r="AT41" s="3">
        <f t="shared" si="197"/>
        <v>2.2900000000000205</v>
      </c>
      <c r="AU41" s="3">
        <f t="shared" si="198"/>
        <v>8.8292179766000203</v>
      </c>
      <c r="AV41" s="3">
        <f t="shared" si="199"/>
        <v>10.630000000000024</v>
      </c>
      <c r="AW41" s="3">
        <f t="shared" si="200"/>
        <v>0</v>
      </c>
      <c r="AY41" s="34">
        <f t="shared" ref="AY41:AY47" si="215">IF(AS41=0,IF(AM41=0,"","Error"),AM41/AS41)</f>
        <v>1.0406799218809231</v>
      </c>
      <c r="AZ41" s="34">
        <f t="shared" si="201"/>
        <v>1.0406799218809231</v>
      </c>
      <c r="BA41" s="34">
        <f t="shared" si="202"/>
        <v>1.0340666664020686</v>
      </c>
      <c r="BB41" s="34">
        <f t="shared" si="203"/>
        <v>1.0479774223894629</v>
      </c>
      <c r="BC41" s="34" t="str">
        <f t="shared" si="204"/>
        <v/>
      </c>
      <c r="BE41" s="2">
        <f t="shared" ref="BE41:BE46" si="216">C41</f>
        <v>2280</v>
      </c>
      <c r="BF41" s="2">
        <f t="shared" si="205"/>
        <v>1869</v>
      </c>
      <c r="BG41" s="2">
        <f t="shared" si="206"/>
        <v>3495.6049999999741</v>
      </c>
      <c r="BH41" s="2">
        <f t="shared" si="207"/>
        <v>4644</v>
      </c>
      <c r="BI41" s="2">
        <f t="shared" si="208"/>
        <v>0</v>
      </c>
    </row>
    <row r="42" spans="1:61" x14ac:dyDescent="0.25">
      <c r="A42" t="s">
        <v>18</v>
      </c>
      <c r="B42" t="s">
        <v>5</v>
      </c>
      <c r="C42" s="2">
        <v>245</v>
      </c>
      <c r="D42" s="2">
        <v>54</v>
      </c>
      <c r="E42" s="2">
        <v>928.13629999999466</v>
      </c>
      <c r="F42" s="2">
        <v>1491</v>
      </c>
      <c r="G42" s="2">
        <v>0</v>
      </c>
      <c r="H42" s="10" t="e">
        <f>-G42/G$47</f>
        <v>#DIV/0!</v>
      </c>
      <c r="J42" s="3">
        <v>0.42000000000000171</v>
      </c>
      <c r="K42" s="3">
        <v>0.25</v>
      </c>
      <c r="L42" s="3">
        <v>2.6854581937000006</v>
      </c>
      <c r="M42" s="3">
        <v>4.4900000000000091</v>
      </c>
      <c r="N42" s="3">
        <v>0</v>
      </c>
      <c r="O42" s="10" t="e">
        <f>-N42/N$47</f>
        <v>#DIV/0!</v>
      </c>
      <c r="Q42" s="12" t="s">
        <v>17</v>
      </c>
      <c r="R42" s="12" t="s">
        <v>17</v>
      </c>
      <c r="S42" s="12">
        <f>2.77</f>
        <v>2.77</v>
      </c>
      <c r="T42" s="3">
        <v>4.6800000000000068</v>
      </c>
      <c r="U42" s="3">
        <v>0</v>
      </c>
      <c r="V42" s="10" t="e">
        <f>-U42/U$47</f>
        <v>#DIV/0!</v>
      </c>
      <c r="X42" s="2">
        <f t="shared" si="209"/>
        <v>1714.2857142857213</v>
      </c>
      <c r="Y42" s="2">
        <f t="shared" si="187"/>
        <v>4629.6296296296296</v>
      </c>
      <c r="Z42" s="2">
        <f t="shared" si="188"/>
        <v>2893.3877424038001</v>
      </c>
      <c r="AA42" s="2">
        <f t="shared" si="189"/>
        <v>3011.4017437961161</v>
      </c>
      <c r="AB42" s="2" t="str">
        <f t="shared" si="190"/>
        <v/>
      </c>
      <c r="AC42" s="16">
        <f t="shared" si="210"/>
        <v>3062.1762075288166</v>
      </c>
      <c r="AE42" s="2" t="str">
        <f t="shared" si="211"/>
        <v/>
      </c>
      <c r="AF42" s="2" t="str">
        <f t="shared" si="191"/>
        <v/>
      </c>
      <c r="AG42" s="2">
        <f t="shared" si="192"/>
        <v>2984.4754482720004</v>
      </c>
      <c r="AH42" s="2">
        <f t="shared" si="193"/>
        <v>3138.8329979879322</v>
      </c>
      <c r="AI42" s="2" t="str">
        <f t="shared" si="194"/>
        <v/>
      </c>
      <c r="AJ42" s="16">
        <f t="shared" si="212"/>
        <v>3061.6542231299663</v>
      </c>
      <c r="AK42" s="33">
        <f>AJ42/AVERAGE(Z42:AA42)</f>
        <v>1.037007070374095</v>
      </c>
      <c r="AM42" s="18">
        <f t="shared" si="195"/>
        <v>0.43554296955712168</v>
      </c>
      <c r="AN42" s="18">
        <f t="shared" si="196"/>
        <v>0.25925176759352375</v>
      </c>
      <c r="AO42" s="3">
        <f t="shared" si="213"/>
        <v>2.77</v>
      </c>
      <c r="AP42" s="3">
        <f t="shared" si="213"/>
        <v>4.6800000000000068</v>
      </c>
      <c r="AQ42" s="3">
        <f t="shared" si="213"/>
        <v>0</v>
      </c>
      <c r="AS42" s="3">
        <f t="shared" si="214"/>
        <v>0.42000000000000171</v>
      </c>
      <c r="AT42" s="3">
        <f t="shared" si="197"/>
        <v>0.25</v>
      </c>
      <c r="AU42" s="3">
        <f t="shared" si="198"/>
        <v>2.6854581937000006</v>
      </c>
      <c r="AV42" s="3">
        <f t="shared" si="199"/>
        <v>4.4900000000000091</v>
      </c>
      <c r="AW42" s="3">
        <f t="shared" si="200"/>
        <v>0</v>
      </c>
      <c r="AY42" s="34">
        <f t="shared" si="215"/>
        <v>1.037007070374095</v>
      </c>
      <c r="AZ42" s="34">
        <f t="shared" si="201"/>
        <v>1.037007070374095</v>
      </c>
      <c r="BA42" s="34">
        <f t="shared" si="202"/>
        <v>1.031481333985512</v>
      </c>
      <c r="BB42" s="34">
        <f t="shared" si="203"/>
        <v>1.0423162583518926</v>
      </c>
      <c r="BC42" s="34" t="str">
        <f t="shared" si="204"/>
        <v/>
      </c>
      <c r="BE42" s="2">
        <f t="shared" si="216"/>
        <v>245</v>
      </c>
      <c r="BF42" s="2">
        <f t="shared" si="205"/>
        <v>54</v>
      </c>
      <c r="BG42" s="2">
        <f t="shared" si="206"/>
        <v>928.13629999999466</v>
      </c>
      <c r="BH42" s="2">
        <f t="shared" si="207"/>
        <v>1491</v>
      </c>
      <c r="BI42" s="2">
        <f t="shared" si="208"/>
        <v>0</v>
      </c>
    </row>
    <row r="43" spans="1:61" x14ac:dyDescent="0.25">
      <c r="A43" t="s">
        <v>18</v>
      </c>
      <c r="B43" t="s">
        <v>6</v>
      </c>
      <c r="C43" s="13">
        <v>0</v>
      </c>
      <c r="D43" s="12" t="s">
        <v>16</v>
      </c>
      <c r="E43" s="13">
        <v>0</v>
      </c>
      <c r="F43" s="13">
        <v>0</v>
      </c>
      <c r="G43" s="2">
        <v>0</v>
      </c>
      <c r="H43" s="10" t="e">
        <f>-G43/G$47</f>
        <v>#DIV/0!</v>
      </c>
      <c r="J43" s="13">
        <v>0</v>
      </c>
      <c r="K43" s="12" t="s">
        <v>16</v>
      </c>
      <c r="L43" s="13">
        <v>0</v>
      </c>
      <c r="M43" s="13">
        <v>0</v>
      </c>
      <c r="N43" s="3">
        <v>0</v>
      </c>
      <c r="O43" s="10" t="e">
        <f>-N43/N$47</f>
        <v>#DIV/0!</v>
      </c>
      <c r="Q43" s="13">
        <v>0</v>
      </c>
      <c r="R43" s="12" t="s">
        <v>16</v>
      </c>
      <c r="S43" s="13">
        <v>0</v>
      </c>
      <c r="T43" s="13">
        <v>0</v>
      </c>
      <c r="U43" s="3">
        <v>0</v>
      </c>
      <c r="V43" s="10" t="e">
        <f>-U43/U$47</f>
        <v>#DIV/0!</v>
      </c>
      <c r="X43" s="2" t="str">
        <f t="shared" si="209"/>
        <v/>
      </c>
      <c r="Y43" s="2" t="str">
        <f t="shared" si="187"/>
        <v/>
      </c>
      <c r="Z43" s="2" t="str">
        <f t="shared" si="188"/>
        <v/>
      </c>
      <c r="AA43" s="2" t="str">
        <f t="shared" si="189"/>
        <v/>
      </c>
      <c r="AB43" s="2" t="str">
        <f t="shared" si="190"/>
        <v/>
      </c>
      <c r="AC43" s="16" t="e">
        <f t="shared" si="210"/>
        <v>#DIV/0!</v>
      </c>
      <c r="AE43" s="2" t="str">
        <f t="shared" si="211"/>
        <v/>
      </c>
      <c r="AF43" s="2" t="str">
        <f t="shared" si="191"/>
        <v/>
      </c>
      <c r="AG43" s="2" t="str">
        <f t="shared" si="192"/>
        <v/>
      </c>
      <c r="AH43" s="2" t="str">
        <f t="shared" si="193"/>
        <v/>
      </c>
      <c r="AI43" s="2" t="str">
        <f t="shared" si="194"/>
        <v/>
      </c>
      <c r="AJ43" s="16" t="e">
        <f t="shared" si="212"/>
        <v>#DIV/0!</v>
      </c>
      <c r="AK43" s="19" t="e">
        <f t="shared" ref="AK43:AK47" si="217">AJ43/AC43</f>
        <v>#DIV/0!</v>
      </c>
      <c r="AM43" s="3">
        <f t="shared" ref="AM43:AO46" si="218">Q43</f>
        <v>0</v>
      </c>
      <c r="AN43" s="18">
        <f>AT43*AK16</f>
        <v>4.857419107282694</v>
      </c>
      <c r="AO43" s="3">
        <f t="shared" si="218"/>
        <v>0</v>
      </c>
      <c r="AP43" s="3">
        <f t="shared" ref="AP43:AP46" si="219">T43</f>
        <v>0</v>
      </c>
      <c r="AQ43" s="3">
        <f t="shared" si="213"/>
        <v>0</v>
      </c>
      <c r="AS43" s="3">
        <f t="shared" si="214"/>
        <v>0</v>
      </c>
      <c r="AT43" s="24">
        <f>(AS16+AU16)/2</f>
        <v>3.938447924823806</v>
      </c>
      <c r="AU43" s="3">
        <f t="shared" si="198"/>
        <v>0</v>
      </c>
      <c r="AV43" s="3">
        <f t="shared" si="199"/>
        <v>0</v>
      </c>
      <c r="AW43" s="3">
        <f t="shared" si="200"/>
        <v>0</v>
      </c>
      <c r="AY43" s="34" t="str">
        <f t="shared" si="215"/>
        <v/>
      </c>
      <c r="AZ43" s="34">
        <f t="shared" si="201"/>
        <v>1.2333333333333334</v>
      </c>
      <c r="BA43" s="34" t="str">
        <f t="shared" si="202"/>
        <v/>
      </c>
      <c r="BB43" s="34" t="str">
        <f t="shared" si="203"/>
        <v/>
      </c>
      <c r="BC43" s="34" t="str">
        <f t="shared" si="204"/>
        <v/>
      </c>
      <c r="BE43" s="2">
        <f t="shared" si="216"/>
        <v>0</v>
      </c>
      <c r="BF43" s="37">
        <f>(BE16+BG16)/2</f>
        <v>677.36</v>
      </c>
      <c r="BG43" s="2">
        <f t="shared" si="206"/>
        <v>0</v>
      </c>
      <c r="BH43" s="2">
        <f t="shared" si="207"/>
        <v>0</v>
      </c>
      <c r="BI43" s="2">
        <f t="shared" si="208"/>
        <v>0</v>
      </c>
    </row>
    <row r="44" spans="1:61" x14ac:dyDescent="0.25">
      <c r="A44" t="s">
        <v>18</v>
      </c>
      <c r="B44" t="s">
        <v>7</v>
      </c>
      <c r="C44" s="13">
        <v>0</v>
      </c>
      <c r="D44" s="13">
        <v>0</v>
      </c>
      <c r="E44" s="13">
        <v>0</v>
      </c>
      <c r="F44" s="13">
        <v>0</v>
      </c>
      <c r="G44" s="2">
        <v>0</v>
      </c>
      <c r="H44" s="10" t="e">
        <f>-G44/G$47</f>
        <v>#DIV/0!</v>
      </c>
      <c r="J44" s="13">
        <v>0</v>
      </c>
      <c r="K44" s="13">
        <v>0</v>
      </c>
      <c r="L44" s="13">
        <v>0</v>
      </c>
      <c r="M44" s="13">
        <v>0</v>
      </c>
      <c r="N44" s="3">
        <v>0</v>
      </c>
      <c r="O44" s="10" t="e">
        <f>-N44/N$47</f>
        <v>#DIV/0!</v>
      </c>
      <c r="Q44" s="13">
        <v>0</v>
      </c>
      <c r="R44" s="13">
        <v>0</v>
      </c>
      <c r="S44" s="13">
        <v>0</v>
      </c>
      <c r="T44" s="13">
        <v>0</v>
      </c>
      <c r="U44" s="3">
        <v>0</v>
      </c>
      <c r="V44" s="10" t="e">
        <f>-U44/U$47</f>
        <v>#DIV/0!</v>
      </c>
      <c r="X44" s="2" t="str">
        <f t="shared" si="209"/>
        <v/>
      </c>
      <c r="Y44" s="2" t="str">
        <f t="shared" si="187"/>
        <v/>
      </c>
      <c r="Z44" s="2" t="str">
        <f t="shared" si="188"/>
        <v/>
      </c>
      <c r="AA44" s="2" t="str">
        <f t="shared" si="189"/>
        <v/>
      </c>
      <c r="AB44" s="2" t="str">
        <f t="shared" si="190"/>
        <v/>
      </c>
      <c r="AC44" s="16" t="e">
        <f t="shared" si="210"/>
        <v>#DIV/0!</v>
      </c>
      <c r="AE44" s="2" t="str">
        <f t="shared" si="211"/>
        <v/>
      </c>
      <c r="AF44" s="2" t="str">
        <f t="shared" si="191"/>
        <v/>
      </c>
      <c r="AG44" s="2" t="str">
        <f t="shared" si="192"/>
        <v/>
      </c>
      <c r="AH44" s="2" t="str">
        <f t="shared" si="193"/>
        <v/>
      </c>
      <c r="AI44" s="2" t="str">
        <f t="shared" si="194"/>
        <v/>
      </c>
      <c r="AJ44" s="16" t="e">
        <f t="shared" si="212"/>
        <v>#DIV/0!</v>
      </c>
      <c r="AK44" s="19" t="e">
        <f t="shared" si="217"/>
        <v>#DIV/0!</v>
      </c>
      <c r="AM44" s="3">
        <f t="shared" si="218"/>
        <v>0</v>
      </c>
      <c r="AN44" s="3">
        <f t="shared" si="218"/>
        <v>0</v>
      </c>
      <c r="AO44" s="3">
        <f t="shared" si="218"/>
        <v>0</v>
      </c>
      <c r="AP44" s="3">
        <f t="shared" si="219"/>
        <v>0</v>
      </c>
      <c r="AQ44" s="3">
        <f t="shared" si="213"/>
        <v>0</v>
      </c>
      <c r="AS44" s="3">
        <f t="shared" si="214"/>
        <v>0</v>
      </c>
      <c r="AT44" s="3">
        <f t="shared" si="214"/>
        <v>0</v>
      </c>
      <c r="AU44" s="3">
        <f t="shared" si="198"/>
        <v>0</v>
      </c>
      <c r="AV44" s="3">
        <f t="shared" si="199"/>
        <v>0</v>
      </c>
      <c r="AW44" s="3">
        <f t="shared" si="200"/>
        <v>0</v>
      </c>
      <c r="AY44" s="34" t="str">
        <f t="shared" si="215"/>
        <v/>
      </c>
      <c r="AZ44" s="34" t="str">
        <f t="shared" si="201"/>
        <v/>
      </c>
      <c r="BA44" s="34" t="str">
        <f t="shared" si="202"/>
        <v/>
      </c>
      <c r="BB44" s="34" t="str">
        <f t="shared" si="203"/>
        <v/>
      </c>
      <c r="BC44" s="34" t="str">
        <f t="shared" si="204"/>
        <v/>
      </c>
      <c r="BE44" s="2">
        <f t="shared" si="216"/>
        <v>0</v>
      </c>
      <c r="BF44" s="2">
        <f t="shared" si="205"/>
        <v>0</v>
      </c>
      <c r="BG44" s="2">
        <f t="shared" si="206"/>
        <v>0</v>
      </c>
      <c r="BH44" s="2">
        <f t="shared" si="207"/>
        <v>0</v>
      </c>
      <c r="BI44" s="2">
        <f t="shared" si="208"/>
        <v>0</v>
      </c>
    </row>
    <row r="45" spans="1:61" x14ac:dyDescent="0.25">
      <c r="A45" t="s">
        <v>18</v>
      </c>
      <c r="B45" t="s">
        <v>8</v>
      </c>
      <c r="C45" s="13">
        <v>0</v>
      </c>
      <c r="D45" s="13">
        <v>0</v>
      </c>
      <c r="E45" s="13">
        <v>0</v>
      </c>
      <c r="F45" s="13">
        <v>0</v>
      </c>
      <c r="G45" s="2">
        <v>0</v>
      </c>
      <c r="H45" s="10" t="e">
        <f>-G45/G$47</f>
        <v>#DIV/0!</v>
      </c>
      <c r="J45" s="13">
        <v>0</v>
      </c>
      <c r="K45" s="13">
        <v>0</v>
      </c>
      <c r="L45" s="13">
        <v>0</v>
      </c>
      <c r="M45" s="13">
        <v>0</v>
      </c>
      <c r="N45" s="3">
        <v>0</v>
      </c>
      <c r="O45" s="10" t="e">
        <f>-N45/N$47</f>
        <v>#DIV/0!</v>
      </c>
      <c r="Q45" s="13">
        <v>0</v>
      </c>
      <c r="R45" s="13">
        <v>0</v>
      </c>
      <c r="S45" s="13">
        <v>0</v>
      </c>
      <c r="T45" s="13">
        <v>0</v>
      </c>
      <c r="U45" s="3">
        <v>0</v>
      </c>
      <c r="V45" s="10" t="e">
        <f>-U45/U$47</f>
        <v>#DIV/0!</v>
      </c>
      <c r="X45" s="2" t="str">
        <f t="shared" si="209"/>
        <v/>
      </c>
      <c r="Y45" s="2" t="str">
        <f t="shared" si="187"/>
        <v/>
      </c>
      <c r="Z45" s="2" t="str">
        <f t="shared" si="188"/>
        <v/>
      </c>
      <c r="AA45" s="2" t="str">
        <f t="shared" si="189"/>
        <v/>
      </c>
      <c r="AB45" s="2" t="str">
        <f t="shared" si="190"/>
        <v/>
      </c>
      <c r="AC45" s="16" t="e">
        <f t="shared" si="210"/>
        <v>#DIV/0!</v>
      </c>
      <c r="AE45" s="2" t="str">
        <f t="shared" si="211"/>
        <v/>
      </c>
      <c r="AF45" s="2" t="str">
        <f t="shared" si="191"/>
        <v/>
      </c>
      <c r="AG45" s="2" t="str">
        <f t="shared" si="192"/>
        <v/>
      </c>
      <c r="AH45" s="2" t="str">
        <f t="shared" si="193"/>
        <v/>
      </c>
      <c r="AI45" s="2" t="str">
        <f t="shared" si="194"/>
        <v/>
      </c>
      <c r="AJ45" s="16" t="e">
        <f t="shared" si="212"/>
        <v>#DIV/0!</v>
      </c>
      <c r="AK45" s="19" t="e">
        <f t="shared" si="217"/>
        <v>#DIV/0!</v>
      </c>
      <c r="AM45" s="3">
        <f t="shared" si="218"/>
        <v>0</v>
      </c>
      <c r="AN45" s="3">
        <f t="shared" si="218"/>
        <v>0</v>
      </c>
      <c r="AO45" s="3">
        <f t="shared" si="218"/>
        <v>0</v>
      </c>
      <c r="AP45" s="3">
        <f t="shared" si="219"/>
        <v>0</v>
      </c>
      <c r="AQ45" s="3">
        <f t="shared" si="213"/>
        <v>0</v>
      </c>
      <c r="AS45" s="3">
        <f t="shared" si="214"/>
        <v>0</v>
      </c>
      <c r="AT45" s="3">
        <f t="shared" si="214"/>
        <v>0</v>
      </c>
      <c r="AU45" s="3">
        <f t="shared" si="198"/>
        <v>0</v>
      </c>
      <c r="AV45" s="3">
        <f t="shared" si="199"/>
        <v>0</v>
      </c>
      <c r="AW45" s="3">
        <f t="shared" si="200"/>
        <v>0</v>
      </c>
      <c r="AY45" s="34" t="str">
        <f t="shared" si="215"/>
        <v/>
      </c>
      <c r="AZ45" s="34" t="str">
        <f t="shared" si="201"/>
        <v/>
      </c>
      <c r="BA45" s="34" t="str">
        <f t="shared" si="202"/>
        <v/>
      </c>
      <c r="BB45" s="34" t="str">
        <f t="shared" si="203"/>
        <v/>
      </c>
      <c r="BC45" s="34" t="str">
        <f t="shared" si="204"/>
        <v/>
      </c>
      <c r="BE45" s="2">
        <f t="shared" si="216"/>
        <v>0</v>
      </c>
      <c r="BF45" s="2">
        <f t="shared" si="205"/>
        <v>0</v>
      </c>
      <c r="BG45" s="2">
        <f t="shared" si="206"/>
        <v>0</v>
      </c>
      <c r="BH45" s="2">
        <f t="shared" si="207"/>
        <v>0</v>
      </c>
      <c r="BI45" s="2">
        <f t="shared" si="208"/>
        <v>0</v>
      </c>
    </row>
    <row r="46" spans="1:61" x14ac:dyDescent="0.25">
      <c r="A46" t="s">
        <v>18</v>
      </c>
      <c r="B46" t="s">
        <v>9</v>
      </c>
      <c r="C46" s="13">
        <v>0</v>
      </c>
      <c r="D46" s="12" t="s">
        <v>16</v>
      </c>
      <c r="E46" s="13">
        <v>0</v>
      </c>
      <c r="F46" s="13">
        <v>0</v>
      </c>
      <c r="G46" s="2">
        <v>0</v>
      </c>
      <c r="H46" s="10" t="e">
        <f>-G46/G$47</f>
        <v>#DIV/0!</v>
      </c>
      <c r="J46" s="13">
        <v>0</v>
      </c>
      <c r="K46" s="12" t="s">
        <v>16</v>
      </c>
      <c r="L46" s="13">
        <v>0</v>
      </c>
      <c r="M46" s="13">
        <v>0</v>
      </c>
      <c r="N46" s="3">
        <v>0</v>
      </c>
      <c r="O46" s="10" t="e">
        <f>-N46/N$47</f>
        <v>#DIV/0!</v>
      </c>
      <c r="Q46" s="13">
        <v>0</v>
      </c>
      <c r="R46" s="12" t="s">
        <v>16</v>
      </c>
      <c r="S46" s="13">
        <v>0</v>
      </c>
      <c r="T46" s="13">
        <v>0</v>
      </c>
      <c r="U46" s="3">
        <v>0</v>
      </c>
      <c r="V46" s="10" t="e">
        <f>-U46/U$47</f>
        <v>#DIV/0!</v>
      </c>
      <c r="X46" s="2" t="str">
        <f t="shared" si="209"/>
        <v/>
      </c>
      <c r="Y46" s="2" t="str">
        <f t="shared" si="187"/>
        <v/>
      </c>
      <c r="Z46" s="2" t="str">
        <f t="shared" si="188"/>
        <v/>
      </c>
      <c r="AA46" s="2" t="str">
        <f t="shared" si="189"/>
        <v/>
      </c>
      <c r="AB46" s="2" t="str">
        <f t="shared" si="190"/>
        <v/>
      </c>
      <c r="AC46" s="16" t="e">
        <f t="shared" si="210"/>
        <v>#DIV/0!</v>
      </c>
      <c r="AE46" s="2" t="str">
        <f t="shared" si="211"/>
        <v/>
      </c>
      <c r="AF46" s="2" t="str">
        <f t="shared" si="191"/>
        <v/>
      </c>
      <c r="AG46" s="2" t="str">
        <f t="shared" si="192"/>
        <v/>
      </c>
      <c r="AH46" s="2" t="str">
        <f t="shared" si="193"/>
        <v/>
      </c>
      <c r="AI46" s="2" t="str">
        <f t="shared" si="194"/>
        <v/>
      </c>
      <c r="AJ46" s="16" t="e">
        <f t="shared" si="212"/>
        <v>#DIV/0!</v>
      </c>
      <c r="AK46" s="19" t="e">
        <f t="shared" si="217"/>
        <v>#DIV/0!</v>
      </c>
      <c r="AM46" s="3">
        <f t="shared" si="218"/>
        <v>0</v>
      </c>
      <c r="AN46" s="18"/>
      <c r="AO46" s="3">
        <f t="shared" si="218"/>
        <v>0</v>
      </c>
      <c r="AP46" s="3">
        <f t="shared" si="219"/>
        <v>0</v>
      </c>
      <c r="AQ46" s="3">
        <f t="shared" si="213"/>
        <v>0</v>
      </c>
      <c r="AS46" s="3">
        <f t="shared" si="214"/>
        <v>0</v>
      </c>
      <c r="AT46" s="24"/>
      <c r="AU46" s="3">
        <f t="shared" si="198"/>
        <v>0</v>
      </c>
      <c r="AV46" s="3">
        <f t="shared" si="199"/>
        <v>0</v>
      </c>
      <c r="AW46" s="3">
        <f t="shared" si="200"/>
        <v>0</v>
      </c>
      <c r="AY46" s="34" t="str">
        <f t="shared" si="215"/>
        <v/>
      </c>
      <c r="AZ46" s="34" t="str">
        <f t="shared" si="201"/>
        <v/>
      </c>
      <c r="BA46" s="34" t="str">
        <f t="shared" si="202"/>
        <v/>
      </c>
      <c r="BB46" s="34" t="str">
        <f t="shared" si="203"/>
        <v/>
      </c>
      <c r="BC46" s="34" t="str">
        <f t="shared" si="204"/>
        <v/>
      </c>
      <c r="BE46" s="2">
        <f t="shared" si="216"/>
        <v>0</v>
      </c>
      <c r="BF46" s="24"/>
      <c r="BG46" s="2">
        <f t="shared" si="206"/>
        <v>0</v>
      </c>
      <c r="BH46" s="2">
        <f t="shared" si="207"/>
        <v>0</v>
      </c>
      <c r="BI46" s="2">
        <f t="shared" si="208"/>
        <v>0</v>
      </c>
    </row>
    <row r="47" spans="1:61" x14ac:dyDescent="0.25">
      <c r="A47" s="4" t="s">
        <v>18</v>
      </c>
      <c r="B47" s="4" t="s">
        <v>10</v>
      </c>
      <c r="C47" s="5">
        <f t="shared" ref="C47:F47" si="220">C40+C41-C42-C43-C44-C45-C46</f>
        <v>16114</v>
      </c>
      <c r="D47" s="5" t="e">
        <f t="shared" si="220"/>
        <v>#VALUE!</v>
      </c>
      <c r="E47" s="5">
        <f t="shared" si="220"/>
        <v>19081.919699999973</v>
      </c>
      <c r="F47" s="5">
        <f t="shared" si="220"/>
        <v>28136</v>
      </c>
      <c r="G47" s="5">
        <f>G40+G41-G42-G43-G44-G45-G46</f>
        <v>0</v>
      </c>
      <c r="H47" s="11" t="e">
        <f>G47/G$47</f>
        <v>#DIV/0!</v>
      </c>
      <c r="I47" s="4"/>
      <c r="J47" s="6">
        <f t="shared" ref="J47:M47" si="221">J40+J41-J42-J43-J44-J45-J46</f>
        <v>99.26</v>
      </c>
      <c r="K47" s="6" t="e">
        <f t="shared" si="221"/>
        <v>#VALUE!</v>
      </c>
      <c r="L47" s="6">
        <f t="shared" si="221"/>
        <v>85.217447432900016</v>
      </c>
      <c r="M47" s="6">
        <f t="shared" si="221"/>
        <v>121.35000000000001</v>
      </c>
      <c r="N47" s="6">
        <f>N40+N41-N42-N43-N44-N45-N46</f>
        <v>0</v>
      </c>
      <c r="O47" s="11" t="e">
        <f>N47/N$47</f>
        <v>#DIV/0!</v>
      </c>
      <c r="P47" s="4"/>
      <c r="Q47" s="6" t="e">
        <f t="shared" ref="Q47:T47" si="222">Q40+Q41-Q42-Q43-Q44-Q45-Q46</f>
        <v>#VALUE!</v>
      </c>
      <c r="R47" s="6" t="e">
        <f t="shared" si="222"/>
        <v>#VALUE!</v>
      </c>
      <c r="S47" s="6">
        <f t="shared" si="222"/>
        <v>88.19</v>
      </c>
      <c r="T47" s="6">
        <f t="shared" si="222"/>
        <v>125.59</v>
      </c>
      <c r="U47" s="6">
        <f>U40+U41-U42-U43-U44-U45-U46</f>
        <v>0</v>
      </c>
      <c r="V47" s="11" t="e">
        <f>U47/U$47</f>
        <v>#DIV/0!</v>
      </c>
      <c r="X47" s="5">
        <f t="shared" si="209"/>
        <v>6159.8609904430932</v>
      </c>
      <c r="Y47" s="5" t="str">
        <f t="shared" si="187"/>
        <v/>
      </c>
      <c r="Z47" s="5">
        <f t="shared" si="188"/>
        <v>4465.8739148189652</v>
      </c>
      <c r="AA47" s="5">
        <f t="shared" si="189"/>
        <v>4312.9798123400633</v>
      </c>
      <c r="AB47" s="5" t="str">
        <f t="shared" si="190"/>
        <v/>
      </c>
      <c r="AC47" s="17">
        <f t="shared" si="210"/>
        <v>4979.5715725340406</v>
      </c>
      <c r="AD47" s="4"/>
      <c r="AE47" s="5" t="str">
        <f t="shared" si="211"/>
        <v/>
      </c>
      <c r="AF47" s="5" t="str">
        <f t="shared" si="191"/>
        <v/>
      </c>
      <c r="AG47" s="5">
        <f t="shared" si="192"/>
        <v>4621.6524011470465</v>
      </c>
      <c r="AH47" s="5">
        <f t="shared" si="193"/>
        <v>4463.6764287745236</v>
      </c>
      <c r="AI47" s="5" t="str">
        <f t="shared" si="194"/>
        <v/>
      </c>
      <c r="AJ47" s="17">
        <f t="shared" si="212"/>
        <v>4542.6644149607855</v>
      </c>
      <c r="AK47" s="20">
        <f t="shared" si="217"/>
        <v>0.9122600908112023</v>
      </c>
      <c r="AM47" s="6">
        <f t="shared" ref="AM47:AP47" si="223">AM40+AM41-AM42-AM43-AM44-AM45-AM46</f>
        <v>102.70786727042328</v>
      </c>
      <c r="AN47" s="6">
        <f t="shared" si="223"/>
        <v>82.494738692383606</v>
      </c>
      <c r="AO47" s="6">
        <f t="shared" si="223"/>
        <v>88.19</v>
      </c>
      <c r="AP47" s="6">
        <f t="shared" si="223"/>
        <v>125.59</v>
      </c>
      <c r="AQ47" s="6">
        <f t="shared" si="213"/>
        <v>0</v>
      </c>
      <c r="AS47" s="6">
        <f t="shared" ref="AS47:AW47" si="224">AS40+AS41-AS42-AS43-AS44-AS45-AS46</f>
        <v>99.26</v>
      </c>
      <c r="AT47" s="6">
        <f t="shared" si="224"/>
        <v>80.491552075176216</v>
      </c>
      <c r="AU47" s="6">
        <f t="shared" si="224"/>
        <v>85.217447432900016</v>
      </c>
      <c r="AV47" s="6">
        <f t="shared" si="224"/>
        <v>121.35000000000001</v>
      </c>
      <c r="AW47" s="6">
        <f t="shared" si="224"/>
        <v>0</v>
      </c>
      <c r="AY47" s="35">
        <f t="shared" si="215"/>
        <v>1.0347357170101075</v>
      </c>
      <c r="AZ47" s="35">
        <f t="shared" si="201"/>
        <v>1.0248869175157225</v>
      </c>
      <c r="BA47" s="35">
        <f t="shared" si="202"/>
        <v>1.0348819714347881</v>
      </c>
      <c r="BB47" s="35">
        <f t="shared" si="203"/>
        <v>1.0349402554594149</v>
      </c>
      <c r="BC47" s="35" t="str">
        <f t="shared" si="204"/>
        <v/>
      </c>
      <c r="BE47" s="5">
        <f t="shared" ref="BE47:BI47" si="225">BE40+BE41-BE42-BE43-BE44-BE45-BE46</f>
        <v>16114</v>
      </c>
      <c r="BF47" s="5">
        <f t="shared" si="225"/>
        <v>16031.64</v>
      </c>
      <c r="BG47" s="5">
        <f t="shared" si="225"/>
        <v>19081.919699999973</v>
      </c>
      <c r="BH47" s="5">
        <f t="shared" si="225"/>
        <v>28136</v>
      </c>
      <c r="BI47" s="5">
        <f t="shared" si="225"/>
        <v>0</v>
      </c>
    </row>
  </sheetData>
  <mergeCells count="13">
    <mergeCell ref="BE1:BI1"/>
    <mergeCell ref="BE2:BI2"/>
    <mergeCell ref="C2:G2"/>
    <mergeCell ref="J2:N2"/>
    <mergeCell ref="Q2:U2"/>
    <mergeCell ref="X2:AB2"/>
    <mergeCell ref="AE2:AI2"/>
    <mergeCell ref="AY1:BC1"/>
    <mergeCell ref="AY2:BC2"/>
    <mergeCell ref="AS1:AW1"/>
    <mergeCell ref="AS2:AW2"/>
    <mergeCell ref="AM2:AQ2"/>
    <mergeCell ref="AM1:AQ1"/>
  </mergeCells>
  <conditionalFormatting sqref="AY4:BC11">
    <cfRule type="cellIs" dxfId="14" priority="13" operator="between">
      <formula>1.3</formula>
      <formula>1990</formula>
    </cfRule>
    <cfRule type="cellIs" dxfId="13" priority="27" operator="lessThan">
      <formula>1</formula>
    </cfRule>
    <cfRule type="cellIs" dxfId="12" priority="35" operator="equal">
      <formula>"Error"</formula>
    </cfRule>
  </conditionalFormatting>
  <conditionalFormatting sqref="AY13:BC20">
    <cfRule type="cellIs" dxfId="11" priority="10" operator="between">
      <formula>1.3</formula>
      <formula>1990</formula>
    </cfRule>
    <cfRule type="cellIs" dxfId="10" priority="11" operator="lessThan">
      <formula>1</formula>
    </cfRule>
    <cfRule type="cellIs" dxfId="9" priority="12" operator="equal">
      <formula>"Error"</formula>
    </cfRule>
  </conditionalFormatting>
  <conditionalFormatting sqref="AY22:BC29">
    <cfRule type="cellIs" dxfId="8" priority="7" operator="between">
      <formula>1.3</formula>
      <formula>1990</formula>
    </cfRule>
    <cfRule type="cellIs" dxfId="7" priority="8" operator="lessThan">
      <formula>1</formula>
    </cfRule>
    <cfRule type="cellIs" dxfId="6" priority="9" operator="equal">
      <formula>"Error"</formula>
    </cfRule>
  </conditionalFormatting>
  <conditionalFormatting sqref="AY31:BC38">
    <cfRule type="cellIs" dxfId="5" priority="4" operator="between">
      <formula>1.3</formula>
      <formula>1990</formula>
    </cfRule>
    <cfRule type="cellIs" dxfId="4" priority="5" operator="lessThan">
      <formula>1</formula>
    </cfRule>
    <cfRule type="cellIs" dxfId="3" priority="6" operator="equal">
      <formula>"Error"</formula>
    </cfRule>
  </conditionalFormatting>
  <conditionalFormatting sqref="AY40:BC47">
    <cfRule type="cellIs" dxfId="2" priority="1" operator="between">
      <formula>1.3</formula>
      <formula>1990</formula>
    </cfRule>
    <cfRule type="cellIs" dxfId="1" priority="2" operator="lessThan">
      <formula>1</formula>
    </cfRule>
    <cfRule type="cellIs" dxfId="0" priority="3" operator="equal">
      <formula>"Error"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1"/>
  <sheetViews>
    <sheetView tabSelected="1" zoomScale="70" zoomScaleNormal="70" workbookViewId="0">
      <selection activeCell="J57" sqref="J57"/>
    </sheetView>
  </sheetViews>
  <sheetFormatPr defaultColWidth="11.42578125" defaultRowHeight="12.75" x14ac:dyDescent="0.2"/>
  <cols>
    <col min="1" max="1" width="11.42578125" style="25" customWidth="1"/>
    <col min="2" max="4" width="16.42578125" style="25" customWidth="1"/>
    <col min="5" max="7" width="11.42578125" style="25"/>
    <col min="8" max="8" width="14.42578125" style="25" customWidth="1"/>
    <col min="9" max="16384" width="11.42578125" style="25"/>
  </cols>
  <sheetData>
    <row r="1" spans="2:14" x14ac:dyDescent="0.2">
      <c r="L1" s="27"/>
      <c r="M1" s="27"/>
      <c r="N1" s="27"/>
    </row>
    <row r="2" spans="2:14" x14ac:dyDescent="0.2">
      <c r="B2" s="32" t="s">
        <v>30</v>
      </c>
      <c r="C2" s="32" t="s">
        <v>29</v>
      </c>
      <c r="L2" s="27"/>
      <c r="M2" s="27"/>
      <c r="N2" s="27"/>
    </row>
    <row r="3" spans="2:14" x14ac:dyDescent="0.2">
      <c r="L3" s="27"/>
      <c r="M3" s="27"/>
      <c r="N3" s="27"/>
    </row>
    <row r="4" spans="2:14" x14ac:dyDescent="0.2">
      <c r="L4" s="27"/>
      <c r="M4" s="27"/>
      <c r="N4" s="27"/>
    </row>
    <row r="5" spans="2:14" x14ac:dyDescent="0.2">
      <c r="L5" s="27"/>
      <c r="M5" s="27"/>
      <c r="N5" s="27"/>
    </row>
    <row r="6" spans="2:14" x14ac:dyDescent="0.2">
      <c r="L6" s="27"/>
      <c r="M6" s="27"/>
      <c r="N6" s="27"/>
    </row>
    <row r="7" spans="2:14" x14ac:dyDescent="0.2">
      <c r="L7" s="27"/>
      <c r="M7" s="27"/>
      <c r="N7" s="27"/>
    </row>
    <row r="8" spans="2:14" x14ac:dyDescent="0.2">
      <c r="L8" s="27"/>
      <c r="M8" s="27"/>
      <c r="N8" s="27"/>
    </row>
    <row r="9" spans="2:14" x14ac:dyDescent="0.2">
      <c r="L9" s="27"/>
      <c r="M9" s="27"/>
      <c r="N9" s="27"/>
    </row>
    <row r="13" spans="2:14" x14ac:dyDescent="0.2">
      <c r="E13" s="31"/>
      <c r="F13" s="31"/>
      <c r="G13" s="31"/>
      <c r="H13" s="31"/>
      <c r="I13" s="31"/>
    </row>
    <row r="14" spans="2:14" x14ac:dyDescent="0.2">
      <c r="E14" s="31"/>
      <c r="F14" s="31"/>
      <c r="G14" s="31"/>
      <c r="H14" s="31"/>
      <c r="I14" s="31"/>
    </row>
    <row r="15" spans="2:14" x14ac:dyDescent="0.2">
      <c r="E15" s="31"/>
      <c r="F15" s="31"/>
      <c r="G15" s="31"/>
      <c r="H15" s="31"/>
      <c r="I15" s="31"/>
    </row>
    <row r="16" spans="2:14" x14ac:dyDescent="0.2">
      <c r="B16" s="26"/>
      <c r="C16" s="26"/>
      <c r="D16" s="26"/>
      <c r="E16" s="59"/>
      <c r="F16" s="59"/>
      <c r="G16" s="59"/>
      <c r="H16" s="59"/>
      <c r="I16" s="59"/>
    </row>
    <row r="17" spans="2:19" x14ac:dyDescent="0.2">
      <c r="B17" s="26"/>
      <c r="C17" s="26"/>
      <c r="D17" s="26"/>
      <c r="E17" s="60"/>
      <c r="F17" s="60"/>
      <c r="G17" s="60"/>
      <c r="H17" s="60"/>
      <c r="I17" s="60"/>
    </row>
    <row r="18" spans="2:19" x14ac:dyDescent="0.2">
      <c r="B18" s="26"/>
      <c r="C18" s="26"/>
      <c r="D18" s="26"/>
      <c r="E18" s="60"/>
      <c r="F18" s="60"/>
      <c r="G18" s="60"/>
      <c r="H18" s="60"/>
      <c r="I18" s="60"/>
    </row>
    <row r="19" spans="2:19" x14ac:dyDescent="0.2">
      <c r="B19" s="26"/>
      <c r="C19" s="26"/>
      <c r="D19" s="26"/>
      <c r="E19" s="60"/>
      <c r="F19" s="60"/>
      <c r="G19" s="60"/>
      <c r="H19" s="60"/>
      <c r="I19" s="60"/>
    </row>
    <row r="20" spans="2:19" x14ac:dyDescent="0.2">
      <c r="B20" s="26"/>
      <c r="C20" s="26"/>
      <c r="D20" s="26"/>
      <c r="E20" s="60"/>
      <c r="F20" s="60"/>
      <c r="G20" s="60"/>
      <c r="H20" s="60"/>
      <c r="I20" s="60"/>
      <c r="L20" s="61"/>
      <c r="M20" s="62"/>
      <c r="N20" s="62"/>
      <c r="O20" s="62"/>
      <c r="P20" s="62"/>
      <c r="Q20" s="62"/>
      <c r="R20" s="62"/>
      <c r="S20" s="62"/>
    </row>
    <row r="21" spans="2:19" x14ac:dyDescent="0.2">
      <c r="B21" s="26"/>
      <c r="C21" s="26"/>
      <c r="D21" s="26"/>
      <c r="E21" s="59"/>
      <c r="F21" s="59"/>
      <c r="G21" s="59"/>
      <c r="H21" s="59"/>
      <c r="I21" s="59"/>
    </row>
    <row r="22" spans="2:19" x14ac:dyDescent="0.2">
      <c r="B22" s="26"/>
      <c r="C22" s="26"/>
      <c r="D22" s="26"/>
      <c r="E22" s="60"/>
      <c r="F22" s="60"/>
      <c r="G22" s="60"/>
      <c r="H22" s="60"/>
      <c r="I22" s="60"/>
    </row>
    <row r="23" spans="2:19" x14ac:dyDescent="0.2">
      <c r="B23" s="26"/>
      <c r="C23" s="26"/>
      <c r="D23" s="26"/>
      <c r="E23" s="60"/>
      <c r="F23" s="60"/>
      <c r="G23" s="60"/>
      <c r="H23" s="60"/>
      <c r="I23" s="60"/>
    </row>
    <row r="24" spans="2:19" x14ac:dyDescent="0.2">
      <c r="B24" s="26"/>
      <c r="C24" s="26"/>
      <c r="D24" s="26"/>
      <c r="E24" s="60"/>
      <c r="F24" s="60"/>
      <c r="G24" s="60"/>
      <c r="H24" s="60"/>
      <c r="I24" s="60"/>
    </row>
    <row r="25" spans="2:19" x14ac:dyDescent="0.2">
      <c r="B25" s="26"/>
      <c r="C25" s="26"/>
      <c r="D25" s="26"/>
      <c r="E25" s="60"/>
      <c r="F25" s="60"/>
      <c r="G25" s="60"/>
      <c r="H25" s="60"/>
      <c r="I25" s="60"/>
    </row>
    <row r="26" spans="2:19" x14ac:dyDescent="0.2">
      <c r="B26" s="26"/>
      <c r="C26" s="26"/>
      <c r="D26" s="26"/>
      <c r="E26" s="59"/>
      <c r="F26" s="59"/>
      <c r="G26" s="59"/>
      <c r="H26" s="59"/>
      <c r="I26" s="59"/>
    </row>
    <row r="27" spans="2:19" x14ac:dyDescent="0.2">
      <c r="B27" s="26"/>
      <c r="C27" s="26"/>
      <c r="D27" s="26"/>
      <c r="E27" s="60"/>
      <c r="F27" s="60"/>
      <c r="G27" s="60"/>
      <c r="H27" s="60"/>
      <c r="I27" s="60"/>
    </row>
    <row r="28" spans="2:19" x14ac:dyDescent="0.2">
      <c r="B28" s="26"/>
      <c r="C28" s="26"/>
      <c r="D28" s="26"/>
      <c r="E28" s="60"/>
      <c r="F28" s="60"/>
      <c r="G28" s="60"/>
      <c r="H28" s="60"/>
      <c r="I28" s="60"/>
    </row>
    <row r="29" spans="2:19" x14ac:dyDescent="0.2">
      <c r="B29" s="26"/>
      <c r="C29" s="26"/>
      <c r="D29" s="26"/>
      <c r="E29" s="60"/>
      <c r="F29" s="60"/>
      <c r="G29" s="60"/>
      <c r="H29" s="60"/>
      <c r="I29" s="60"/>
    </row>
    <row r="30" spans="2:19" x14ac:dyDescent="0.2">
      <c r="B30" s="26"/>
      <c r="C30" s="26"/>
      <c r="D30" s="26"/>
      <c r="E30" s="60"/>
      <c r="F30" s="60"/>
      <c r="G30" s="60"/>
      <c r="H30" s="60"/>
      <c r="I30" s="60"/>
    </row>
    <row r="31" spans="2:19" x14ac:dyDescent="0.2">
      <c r="B31" s="26"/>
      <c r="C31" s="26"/>
      <c r="D31" s="26"/>
      <c r="E31" s="59"/>
      <c r="F31" s="59"/>
      <c r="G31" s="59"/>
      <c r="H31" s="59"/>
      <c r="I31" s="59"/>
    </row>
    <row r="32" spans="2:19" x14ac:dyDescent="0.2">
      <c r="B32" s="26"/>
      <c r="C32" s="26"/>
      <c r="D32" s="26"/>
      <c r="E32" s="60"/>
      <c r="F32" s="60"/>
      <c r="G32" s="60"/>
      <c r="H32" s="60"/>
      <c r="I32" s="60"/>
    </row>
    <row r="33" spans="2:32" x14ac:dyDescent="0.2">
      <c r="B33" s="26"/>
      <c r="C33" s="26"/>
      <c r="D33" s="26"/>
      <c r="E33" s="60"/>
      <c r="F33" s="60"/>
      <c r="G33" s="60"/>
      <c r="H33" s="60"/>
      <c r="I33" s="60"/>
    </row>
    <row r="34" spans="2:32" x14ac:dyDescent="0.2">
      <c r="B34" s="26"/>
      <c r="C34" s="26"/>
      <c r="D34" s="26"/>
      <c r="E34" s="60"/>
      <c r="F34" s="60"/>
      <c r="G34" s="60"/>
      <c r="H34" s="60"/>
      <c r="I34" s="60"/>
    </row>
    <row r="35" spans="2:32" x14ac:dyDescent="0.2">
      <c r="B35" s="26"/>
      <c r="C35" s="26"/>
      <c r="D35" s="26"/>
      <c r="E35" s="26"/>
      <c r="F35" s="26"/>
      <c r="G35" s="26"/>
      <c r="H35" s="26"/>
      <c r="I35" s="26"/>
    </row>
    <row r="40" spans="2:32" ht="15" x14ac:dyDescent="0.25">
      <c r="AD40"/>
      <c r="AE40"/>
      <c r="AF40"/>
    </row>
    <row r="41" spans="2:32" ht="15" x14ac:dyDescent="0.25">
      <c r="AD41"/>
      <c r="AE41"/>
      <c r="AF41"/>
    </row>
    <row r="42" spans="2:32" ht="15" x14ac:dyDescent="0.25">
      <c r="AD42"/>
      <c r="AE42"/>
      <c r="AF42"/>
    </row>
    <row r="43" spans="2:32" ht="15" x14ac:dyDescent="0.25">
      <c r="AD43"/>
      <c r="AE43"/>
      <c r="AF43"/>
    </row>
    <row r="44" spans="2:32" ht="15" x14ac:dyDescent="0.25">
      <c r="AD44"/>
      <c r="AE44"/>
      <c r="AF44"/>
    </row>
    <row r="45" spans="2:32" ht="15" x14ac:dyDescent="0.25">
      <c r="X45"/>
      <c r="Y45"/>
      <c r="Z45"/>
      <c r="AA45"/>
      <c r="AB45"/>
      <c r="AC45"/>
      <c r="AD45"/>
      <c r="AE45"/>
      <c r="AF45"/>
    </row>
    <row r="46" spans="2:32" ht="15" x14ac:dyDescent="0.25">
      <c r="X46"/>
      <c r="Y46"/>
      <c r="Z46"/>
      <c r="AA46"/>
      <c r="AB46"/>
      <c r="AC46"/>
      <c r="AD46"/>
      <c r="AE46"/>
      <c r="AF46"/>
    </row>
    <row r="47" spans="2:32" ht="15" x14ac:dyDescent="0.25">
      <c r="C47" s="43"/>
      <c r="D47" s="43"/>
      <c r="Z47" s="26"/>
      <c r="AA47" s="44"/>
      <c r="AB47" s="44"/>
      <c r="AC47" s="26"/>
    </row>
    <row r="48" spans="2:32" ht="14.25" x14ac:dyDescent="0.2">
      <c r="C48" s="52"/>
      <c r="D48" s="55"/>
      <c r="Z48" s="52"/>
      <c r="AA48" s="53"/>
      <c r="AB48" s="54"/>
      <c r="AC48" s="26"/>
    </row>
    <row r="49" spans="1:32" ht="14.25" x14ac:dyDescent="0.2">
      <c r="C49" s="51" t="s">
        <v>54</v>
      </c>
      <c r="D49" s="51" t="s">
        <v>53</v>
      </c>
      <c r="E49" s="51" t="s">
        <v>52</v>
      </c>
      <c r="F49" s="51" t="s">
        <v>51</v>
      </c>
      <c r="G49" s="51" t="s">
        <v>50</v>
      </c>
      <c r="H49" s="51" t="s">
        <v>46</v>
      </c>
      <c r="I49" s="51" t="s">
        <v>47</v>
      </c>
      <c r="J49" s="51" t="s">
        <v>48</v>
      </c>
      <c r="K49" s="51" t="s">
        <v>49</v>
      </c>
      <c r="L49" s="51" t="s">
        <v>55</v>
      </c>
      <c r="M49" s="51" t="s">
        <v>41</v>
      </c>
      <c r="N49" s="51" t="s">
        <v>42</v>
      </c>
      <c r="O49" s="51" t="s">
        <v>43</v>
      </c>
      <c r="P49" s="51" t="s">
        <v>44</v>
      </c>
      <c r="Q49" s="51" t="s">
        <v>45</v>
      </c>
      <c r="R49" s="51" t="s">
        <v>40</v>
      </c>
      <c r="S49" s="51" t="s">
        <v>39</v>
      </c>
      <c r="T49" s="51" t="s">
        <v>38</v>
      </c>
      <c r="U49" s="51" t="s">
        <v>37</v>
      </c>
      <c r="V49" s="51" t="s">
        <v>36</v>
      </c>
      <c r="Z49" s="52"/>
      <c r="AA49" s="53"/>
      <c r="AB49" s="54"/>
      <c r="AC49" s="26"/>
    </row>
    <row r="50" spans="1:32" ht="14.25" x14ac:dyDescent="0.2">
      <c r="B50" s="45" t="s">
        <v>12</v>
      </c>
      <c r="C50" s="50">
        <v>89.38</v>
      </c>
      <c r="D50" s="49">
        <v>50.45</v>
      </c>
      <c r="E50" s="48">
        <v>24.19</v>
      </c>
      <c r="F50" s="47">
        <v>27.92</v>
      </c>
      <c r="G50" s="46">
        <v>80.5</v>
      </c>
      <c r="H50" s="50">
        <v>103.32</v>
      </c>
      <c r="I50" s="49">
        <v>124.33</v>
      </c>
      <c r="J50" s="48">
        <v>110.61</v>
      </c>
      <c r="K50" s="47">
        <v>127.49</v>
      </c>
      <c r="L50" s="46">
        <v>125.32</v>
      </c>
      <c r="M50" s="50">
        <v>36.22</v>
      </c>
      <c r="N50" s="49">
        <v>31.03</v>
      </c>
      <c r="O50" s="48">
        <v>23.89</v>
      </c>
      <c r="P50" s="47">
        <v>103.32</v>
      </c>
      <c r="Q50" s="46">
        <v>37.049999999999997</v>
      </c>
      <c r="R50" s="50">
        <v>151.81</v>
      </c>
      <c r="S50" s="49">
        <v>143.71</v>
      </c>
      <c r="T50" s="48">
        <v>106.96</v>
      </c>
      <c r="U50" s="47">
        <v>120.49</v>
      </c>
      <c r="V50" s="46">
        <v>163.47</v>
      </c>
      <c r="Z50" s="52"/>
      <c r="AA50" s="53"/>
      <c r="AB50" s="54"/>
      <c r="AC50" s="26"/>
    </row>
    <row r="51" spans="1:32" ht="15" x14ac:dyDescent="0.25">
      <c r="B51" s="45" t="s">
        <v>13</v>
      </c>
      <c r="C51" s="50">
        <v>0</v>
      </c>
      <c r="D51" s="49">
        <v>0</v>
      </c>
      <c r="E51" s="48">
        <v>0</v>
      </c>
      <c r="F51" s="47">
        <v>0</v>
      </c>
      <c r="G51" s="46">
        <v>1.34</v>
      </c>
      <c r="H51" s="50">
        <v>2.44</v>
      </c>
      <c r="I51" s="49">
        <v>2.78</v>
      </c>
      <c r="J51" s="48">
        <v>1.26</v>
      </c>
      <c r="K51" s="47">
        <v>2.13</v>
      </c>
      <c r="L51" s="46">
        <v>2.3199999999999998</v>
      </c>
      <c r="M51" s="50">
        <v>0</v>
      </c>
      <c r="N51" s="49">
        <v>0.25</v>
      </c>
      <c r="O51" s="48">
        <v>0</v>
      </c>
      <c r="P51" s="47">
        <v>2.44</v>
      </c>
      <c r="Q51" s="46">
        <v>0.76</v>
      </c>
      <c r="R51" s="50">
        <v>2.44</v>
      </c>
      <c r="S51" s="49">
        <v>2.5299999999999998</v>
      </c>
      <c r="T51" s="48">
        <v>1.26</v>
      </c>
      <c r="U51" s="47">
        <v>2.0699999999999998</v>
      </c>
      <c r="V51" s="46">
        <v>2.9</v>
      </c>
      <c r="X51"/>
      <c r="Y51"/>
      <c r="Z51" s="44"/>
      <c r="AA51" s="44"/>
      <c r="AB51" s="44"/>
      <c r="AC51" s="44"/>
      <c r="AD51"/>
      <c r="AE51"/>
      <c r="AF51"/>
    </row>
    <row r="52" spans="1:32" ht="15" x14ac:dyDescent="0.25">
      <c r="B52" s="45" t="s">
        <v>14</v>
      </c>
      <c r="C52" s="50">
        <v>0</v>
      </c>
      <c r="D52" s="49">
        <v>0</v>
      </c>
      <c r="E52" s="48">
        <v>0</v>
      </c>
      <c r="F52" s="47">
        <v>0</v>
      </c>
      <c r="G52" s="46">
        <v>63</v>
      </c>
      <c r="H52" s="50">
        <v>17.79</v>
      </c>
      <c r="I52" s="49">
        <v>15.35</v>
      </c>
      <c r="J52" s="48">
        <v>14.89</v>
      </c>
      <c r="K52" s="47">
        <v>11.98</v>
      </c>
      <c r="L52" s="46">
        <v>13.02</v>
      </c>
      <c r="M52" s="50">
        <v>36.82</v>
      </c>
      <c r="N52" s="49">
        <v>26.3</v>
      </c>
      <c r="O52" s="48">
        <v>31.59</v>
      </c>
      <c r="P52" s="47">
        <v>17.79</v>
      </c>
      <c r="Q52" s="46">
        <v>43.59</v>
      </c>
      <c r="R52" s="50">
        <v>-19.03</v>
      </c>
      <c r="S52" s="49">
        <v>-10.95</v>
      </c>
      <c r="T52" s="48">
        <v>-16.690000000000001</v>
      </c>
      <c r="U52" s="47">
        <v>-25.68</v>
      </c>
      <c r="V52" s="46">
        <v>32.409999999999997</v>
      </c>
      <c r="X52"/>
      <c r="Y52"/>
      <c r="Z52" s="44"/>
      <c r="AA52" s="44"/>
      <c r="AB52" s="44"/>
      <c r="AC52" s="44"/>
      <c r="AD52"/>
      <c r="AE52"/>
      <c r="AF52"/>
    </row>
    <row r="53" spans="1:32" ht="15" x14ac:dyDescent="0.25">
      <c r="X53"/>
      <c r="Y53"/>
      <c r="Z53"/>
      <c r="AA53"/>
      <c r="AB53"/>
      <c r="AC53"/>
      <c r="AD53"/>
      <c r="AE53"/>
      <c r="AF53"/>
    </row>
    <row r="54" spans="1:32" ht="15" x14ac:dyDescent="0.25">
      <c r="AA54"/>
      <c r="AB54"/>
      <c r="AC54"/>
      <c r="AD54"/>
      <c r="AE54"/>
      <c r="AF54"/>
    </row>
    <row r="55" spans="1:32" ht="15" x14ac:dyDescent="0.25">
      <c r="AA55"/>
      <c r="AB55"/>
      <c r="AC55"/>
      <c r="AD55"/>
      <c r="AE55"/>
      <c r="AF55"/>
    </row>
    <row r="56" spans="1:32" ht="15" x14ac:dyDescent="0.25">
      <c r="AA56"/>
      <c r="AB56"/>
      <c r="AC56"/>
      <c r="AD56"/>
      <c r="AE56"/>
      <c r="AF56"/>
    </row>
    <row r="57" spans="1:32" ht="15" x14ac:dyDescent="0.25">
      <c r="AA57"/>
      <c r="AB57"/>
      <c r="AC57"/>
      <c r="AD57"/>
      <c r="AE57"/>
      <c r="AF57"/>
    </row>
    <row r="58" spans="1:32" ht="15" x14ac:dyDescent="0.25">
      <c r="X58"/>
      <c r="Y58"/>
      <c r="Z58"/>
      <c r="AA58"/>
      <c r="AB58"/>
      <c r="AC58"/>
      <c r="AD58"/>
      <c r="AE58"/>
      <c r="AF58"/>
    </row>
    <row r="59" spans="1:32" ht="15" x14ac:dyDescent="0.25">
      <c r="A59" s="29"/>
      <c r="B59" s="29"/>
      <c r="C59" s="29"/>
      <c r="D59" s="30">
        <v>2007</v>
      </c>
      <c r="E59" s="30">
        <v>2008</v>
      </c>
      <c r="F59" s="30">
        <v>2009</v>
      </c>
      <c r="G59" s="30">
        <v>2010</v>
      </c>
      <c r="H59" s="30">
        <v>2011</v>
      </c>
      <c r="X59"/>
      <c r="Y59"/>
      <c r="Z59"/>
      <c r="AA59"/>
      <c r="AB59"/>
      <c r="AC59"/>
      <c r="AD59"/>
      <c r="AE59"/>
      <c r="AF59"/>
    </row>
    <row r="60" spans="1:32" ht="15" x14ac:dyDescent="0.25">
      <c r="A60" s="29" t="s">
        <v>3</v>
      </c>
      <c r="B60" s="29" t="s">
        <v>11</v>
      </c>
      <c r="C60" s="29" t="s">
        <v>26</v>
      </c>
      <c r="D60" s="28">
        <f>'Consumption Calculation'!AS4</f>
        <v>184.32</v>
      </c>
      <c r="E60" s="28">
        <f>'Consumption Calculation'!AT4</f>
        <v>132.84</v>
      </c>
      <c r="F60" s="28">
        <f>'Consumption Calculation'!AU4</f>
        <v>103.26538764999999</v>
      </c>
      <c r="G60" s="28">
        <f>'Consumption Calculation'!AV4</f>
        <v>143.13</v>
      </c>
      <c r="H60" s="28">
        <f>'Consumption Calculation'!AW4</f>
        <v>144.8387453</v>
      </c>
      <c r="X60"/>
      <c r="Y60"/>
      <c r="Z60"/>
      <c r="AA60"/>
      <c r="AB60"/>
      <c r="AC60"/>
      <c r="AD60"/>
      <c r="AE60"/>
      <c r="AF60"/>
    </row>
    <row r="61" spans="1:32" ht="15" x14ac:dyDescent="0.25">
      <c r="A61" s="29" t="s">
        <v>28</v>
      </c>
      <c r="B61" s="29" t="s">
        <v>11</v>
      </c>
      <c r="C61" s="29" t="s">
        <v>26</v>
      </c>
      <c r="D61" s="28">
        <f>'Consumption Calculation'!AS5</f>
        <v>128.29</v>
      </c>
      <c r="E61" s="28">
        <f>'Consumption Calculation'!AT5</f>
        <v>144.75</v>
      </c>
      <c r="F61" s="28">
        <f>'Consumption Calculation'!AU5</f>
        <v>135.58963124660002</v>
      </c>
      <c r="G61" s="28">
        <f>'Consumption Calculation'!AV5</f>
        <v>152.23000000000002</v>
      </c>
      <c r="H61" s="28">
        <f>'Consumption Calculation'!AW5</f>
        <v>140.65985525310001</v>
      </c>
      <c r="X61"/>
      <c r="Y61"/>
      <c r="Z61"/>
      <c r="AA61"/>
      <c r="AB61"/>
      <c r="AC61"/>
      <c r="AD61"/>
      <c r="AE61"/>
      <c r="AF61"/>
    </row>
    <row r="62" spans="1:32" ht="15" x14ac:dyDescent="0.25">
      <c r="A62" s="29" t="s">
        <v>27</v>
      </c>
      <c r="B62" s="29" t="s">
        <v>11</v>
      </c>
      <c r="C62" s="29" t="s">
        <v>26</v>
      </c>
      <c r="D62" s="28">
        <f>'Consumption Calculation'!AS6</f>
        <v>73.459999999999994</v>
      </c>
      <c r="E62" s="28">
        <f>'Consumption Calculation'!AT6</f>
        <v>57.83</v>
      </c>
      <c r="F62" s="28">
        <f>'Consumption Calculation'!AU6</f>
        <v>58.160711006200003</v>
      </c>
      <c r="G62" s="28">
        <f>'Consumption Calculation'!AV6</f>
        <v>72.41</v>
      </c>
      <c r="H62" s="28">
        <f>'Consumption Calculation'!AW6</f>
        <v>81.405457332499992</v>
      </c>
      <c r="X62"/>
      <c r="Y62"/>
      <c r="Z62"/>
      <c r="AA62"/>
      <c r="AB62"/>
      <c r="AC62"/>
      <c r="AD62"/>
      <c r="AE62"/>
      <c r="AF62"/>
    </row>
    <row r="63" spans="1:32" ht="15" x14ac:dyDescent="0.25">
      <c r="A63" s="29" t="s">
        <v>10</v>
      </c>
      <c r="B63" s="29" t="s">
        <v>11</v>
      </c>
      <c r="C63" s="29" t="s">
        <v>26</v>
      </c>
      <c r="D63" s="28">
        <f>'Consumption Calculation'!AS11</f>
        <v>234.48482811276432</v>
      </c>
      <c r="E63" s="28">
        <f>'Consumption Calculation'!AT11</f>
        <v>215.77905207517625</v>
      </c>
      <c r="F63" s="28">
        <f>'Consumption Calculation'!AU11</f>
        <v>176.74008392798811</v>
      </c>
      <c r="G63" s="28">
        <f>'Consumption Calculation'!AV11</f>
        <v>218.23000000000002</v>
      </c>
      <c r="H63" s="28">
        <f>'Consumption Calculation'!AW11</f>
        <v>198.78075462519999</v>
      </c>
      <c r="X63"/>
      <c r="Y63"/>
      <c r="Z63"/>
      <c r="AA63"/>
      <c r="AB63"/>
      <c r="AC63"/>
      <c r="AD63"/>
      <c r="AE63"/>
      <c r="AF63"/>
    </row>
    <row r="64" spans="1:32" ht="15" x14ac:dyDescent="0.25">
      <c r="X64"/>
      <c r="Y64"/>
      <c r="Z64"/>
      <c r="AA64"/>
      <c r="AB64"/>
      <c r="AC64"/>
      <c r="AD64"/>
      <c r="AE64"/>
      <c r="AF64"/>
    </row>
    <row r="65" spans="24:32" ht="15" x14ac:dyDescent="0.25">
      <c r="X65"/>
      <c r="Y65"/>
      <c r="Z65"/>
      <c r="AA65"/>
      <c r="AB65"/>
      <c r="AC65"/>
      <c r="AD65"/>
      <c r="AE65"/>
      <c r="AF65"/>
    </row>
    <row r="66" spans="24:32" ht="15" x14ac:dyDescent="0.25">
      <c r="X66"/>
      <c r="Y66"/>
      <c r="Z66"/>
      <c r="AA66"/>
      <c r="AB66"/>
      <c r="AC66"/>
      <c r="AD66"/>
      <c r="AE66"/>
      <c r="AF66"/>
    </row>
    <row r="67" spans="24:32" ht="15" x14ac:dyDescent="0.25">
      <c r="X67"/>
      <c r="Y67"/>
      <c r="Z67"/>
      <c r="AA67"/>
      <c r="AB67"/>
      <c r="AC67"/>
      <c r="AD67"/>
      <c r="AE67"/>
      <c r="AF67"/>
    </row>
    <row r="68" spans="24:32" ht="15" x14ac:dyDescent="0.25">
      <c r="X68"/>
      <c r="Y68"/>
      <c r="Z68"/>
      <c r="AA68"/>
      <c r="AB68"/>
      <c r="AC68"/>
      <c r="AD68"/>
      <c r="AE68"/>
      <c r="AF68"/>
    </row>
    <row r="69" spans="24:32" ht="15" x14ac:dyDescent="0.25">
      <c r="X69"/>
      <c r="Y69"/>
      <c r="Z69"/>
      <c r="AA69"/>
      <c r="AB69"/>
      <c r="AC69"/>
      <c r="AD69"/>
      <c r="AE69"/>
      <c r="AF69"/>
    </row>
    <row r="70" spans="24:32" ht="15" x14ac:dyDescent="0.25">
      <c r="X70"/>
      <c r="Y70"/>
      <c r="Z70"/>
      <c r="AA70"/>
      <c r="AB70"/>
      <c r="AC70"/>
      <c r="AD70"/>
      <c r="AE70"/>
      <c r="AF70"/>
    </row>
    <row r="71" spans="24:32" ht="15" x14ac:dyDescent="0.25">
      <c r="X71"/>
      <c r="Y71"/>
      <c r="Z71"/>
      <c r="AA71"/>
      <c r="AB71"/>
      <c r="AC71"/>
      <c r="AD71"/>
      <c r="AE71"/>
      <c r="AF71"/>
    </row>
    <row r="72" spans="24:32" ht="15" x14ac:dyDescent="0.25">
      <c r="X72"/>
      <c r="Y72"/>
      <c r="Z72"/>
      <c r="AA72"/>
      <c r="AB72"/>
      <c r="AC72"/>
      <c r="AD72"/>
      <c r="AE72"/>
      <c r="AF72"/>
    </row>
    <row r="73" spans="24:32" ht="15" x14ac:dyDescent="0.25">
      <c r="X73"/>
      <c r="Y73"/>
      <c r="Z73"/>
      <c r="AA73"/>
      <c r="AB73"/>
      <c r="AC73"/>
      <c r="AD73"/>
      <c r="AE73"/>
      <c r="AF73"/>
    </row>
    <row r="74" spans="24:32" ht="15" x14ac:dyDescent="0.25">
      <c r="X74"/>
      <c r="Y74"/>
      <c r="Z74"/>
      <c r="AA74"/>
      <c r="AB74"/>
      <c r="AC74"/>
      <c r="AD74"/>
      <c r="AE74"/>
      <c r="AF74"/>
    </row>
    <row r="75" spans="24:32" ht="15" x14ac:dyDescent="0.25">
      <c r="X75"/>
      <c r="Y75"/>
      <c r="Z75"/>
      <c r="AA75"/>
      <c r="AB75"/>
      <c r="AC75"/>
      <c r="AD75"/>
      <c r="AE75"/>
      <c r="AF75"/>
    </row>
    <row r="76" spans="24:32" ht="15" x14ac:dyDescent="0.25">
      <c r="X76"/>
      <c r="Y76"/>
      <c r="Z76"/>
      <c r="AA76"/>
      <c r="AB76"/>
      <c r="AC76"/>
      <c r="AD76"/>
      <c r="AE76"/>
      <c r="AF76"/>
    </row>
    <row r="77" spans="24:32" ht="15" x14ac:dyDescent="0.25">
      <c r="X77"/>
      <c r="Y77"/>
      <c r="Z77"/>
      <c r="AA77"/>
      <c r="AB77"/>
      <c r="AC77"/>
      <c r="AD77"/>
      <c r="AE77"/>
      <c r="AF77"/>
    </row>
    <row r="78" spans="24:32" ht="15" x14ac:dyDescent="0.25">
      <c r="X78"/>
      <c r="Y78"/>
      <c r="Z78"/>
      <c r="AA78"/>
      <c r="AB78"/>
      <c r="AC78"/>
      <c r="AD78"/>
      <c r="AE78"/>
      <c r="AF78"/>
    </row>
    <row r="79" spans="24:32" ht="15" x14ac:dyDescent="0.25">
      <c r="X79"/>
      <c r="Y79"/>
      <c r="Z79"/>
      <c r="AA79"/>
      <c r="AB79"/>
      <c r="AC79"/>
      <c r="AD79"/>
      <c r="AE79"/>
      <c r="AF79"/>
    </row>
    <row r="80" spans="24:32" ht="15" x14ac:dyDescent="0.25">
      <c r="X80"/>
      <c r="Y80"/>
      <c r="Z80"/>
      <c r="AA80"/>
      <c r="AB80"/>
      <c r="AC80"/>
      <c r="AD80"/>
      <c r="AE80"/>
      <c r="AF80"/>
    </row>
    <row r="81" spans="24:32" ht="15" x14ac:dyDescent="0.25">
      <c r="X81"/>
      <c r="Y81"/>
      <c r="Z81"/>
      <c r="AA81"/>
      <c r="AB81"/>
      <c r="AC81"/>
      <c r="AD81"/>
      <c r="AE81"/>
      <c r="AF81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8"/>
  <sheetViews>
    <sheetView workbookViewId="0">
      <selection activeCell="H3" sqref="H3:H5"/>
    </sheetView>
  </sheetViews>
  <sheetFormatPr defaultColWidth="11.42578125" defaultRowHeight="15" x14ac:dyDescent="0.25"/>
  <sheetData>
    <row r="1" spans="1:8" x14ac:dyDescent="0.25">
      <c r="A1" t="s">
        <v>2</v>
      </c>
    </row>
    <row r="2" spans="1:8" x14ac:dyDescent="0.25">
      <c r="C2">
        <v>2007</v>
      </c>
      <c r="D2">
        <v>2008</v>
      </c>
      <c r="E2">
        <v>2009</v>
      </c>
      <c r="F2">
        <v>2010</v>
      </c>
      <c r="G2">
        <v>2011</v>
      </c>
    </row>
    <row r="3" spans="1:8" x14ac:dyDescent="0.25">
      <c r="B3" t="s">
        <v>12</v>
      </c>
      <c r="C3" s="38"/>
      <c r="D3" s="38"/>
      <c r="E3" s="38"/>
      <c r="F3" s="38"/>
      <c r="G3" s="38">
        <f>'Consumption Calculation'!AQ20</f>
        <v>172.24783959042998</v>
      </c>
      <c r="H3" s="42">
        <f>G3/G$7</f>
        <v>0.82570015131568963</v>
      </c>
    </row>
    <row r="4" spans="1:8" x14ac:dyDescent="0.25">
      <c r="B4" t="s">
        <v>13</v>
      </c>
      <c r="C4" s="38"/>
      <c r="D4" s="38"/>
      <c r="E4" s="38"/>
      <c r="F4" s="38"/>
      <c r="G4" s="38">
        <f>'Consumption Calculation'!AQ29</f>
        <v>3.0750261430000001</v>
      </c>
      <c r="H4" s="42">
        <f t="shared" ref="H4:H5" si="0">G4/G$7</f>
        <v>1.4740675747296109E-2</v>
      </c>
    </row>
    <row r="5" spans="1:8" x14ac:dyDescent="0.25">
      <c r="B5" t="s">
        <v>14</v>
      </c>
      <c r="C5" s="38"/>
      <c r="D5" s="38"/>
      <c r="E5" s="38"/>
      <c r="F5" s="38"/>
      <c r="G5" s="38">
        <f>'Consumption Calculation'!AQ38</f>
        <v>33.285355200000026</v>
      </c>
      <c r="H5" s="42">
        <f t="shared" si="0"/>
        <v>0.15955917293701422</v>
      </c>
    </row>
    <row r="6" spans="1:8" x14ac:dyDescent="0.25">
      <c r="B6" t="s">
        <v>24</v>
      </c>
      <c r="C6" s="38">
        <f>'Consumption Calculation'!AM11</f>
        <v>247.61639924495358</v>
      </c>
      <c r="D6" s="38">
        <f>'Consumption Calculation'!AN11</f>
        <v>227.01562027181842</v>
      </c>
      <c r="E6" s="38">
        <f>'Consumption Calculation'!AO11</f>
        <v>185.40856763884824</v>
      </c>
      <c r="F6" s="38">
        <f>'Consumption Calculation'!AP11</f>
        <v>229.25860591315728</v>
      </c>
      <c r="G6" s="38"/>
    </row>
    <row r="7" spans="1:8" x14ac:dyDescent="0.25">
      <c r="B7" t="s">
        <v>25</v>
      </c>
      <c r="C7" s="38">
        <f>SUM(C3:C6)</f>
        <v>247.61639924495358</v>
      </c>
      <c r="D7" s="38">
        <f t="shared" ref="D7:G7" si="1">SUM(D3:D6)</f>
        <v>227.01562027181842</v>
      </c>
      <c r="E7" s="38">
        <f t="shared" si="1"/>
        <v>185.40856763884824</v>
      </c>
      <c r="F7" s="38">
        <f t="shared" si="1"/>
        <v>229.25860591315728</v>
      </c>
      <c r="G7" s="38">
        <f t="shared" si="1"/>
        <v>208.60822093343</v>
      </c>
    </row>
    <row r="8" spans="1:8" x14ac:dyDescent="0.25">
      <c r="B8" s="41" t="s">
        <v>35</v>
      </c>
      <c r="C8" s="40">
        <f>C7/'Cons chart tonnes'!C7*10^6</f>
        <v>2656.5338760731088</v>
      </c>
      <c r="D8" s="40">
        <f>D7/'Cons chart tonnes'!D7*10^6</f>
        <v>2514.3320385800298</v>
      </c>
      <c r="E8" s="40">
        <f>E7/'Cons chart tonnes'!E7*10^6</f>
        <v>2455.0624516231487</v>
      </c>
      <c r="F8" s="40">
        <f>F7/'Cons chart tonnes'!F7*10^6</f>
        <v>2470.8566358052785</v>
      </c>
      <c r="G8" s="40">
        <f>G7/'Cons chart tonnes'!G7*10^6</f>
        <v>2443.8193465431077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H3" sqref="H3:H5"/>
    </sheetView>
  </sheetViews>
  <sheetFormatPr defaultColWidth="11.42578125" defaultRowHeight="15" x14ac:dyDescent="0.25"/>
  <sheetData>
    <row r="1" spans="1:8" x14ac:dyDescent="0.25">
      <c r="A1" t="s">
        <v>1</v>
      </c>
    </row>
    <row r="2" spans="1:8" x14ac:dyDescent="0.25">
      <c r="C2">
        <v>2007</v>
      </c>
      <c r="D2">
        <v>2008</v>
      </c>
      <c r="E2">
        <v>2009</v>
      </c>
      <c r="F2">
        <v>2010</v>
      </c>
      <c r="G2">
        <v>2011</v>
      </c>
    </row>
    <row r="3" spans="1:8" x14ac:dyDescent="0.25">
      <c r="B3" t="s">
        <v>12</v>
      </c>
      <c r="C3" s="38"/>
      <c r="D3" s="38"/>
      <c r="E3" s="38"/>
      <c r="F3" s="38"/>
      <c r="G3" s="38">
        <f>'Consumption Calculation'!AW20</f>
        <v>163.47328203719997</v>
      </c>
      <c r="H3" s="42">
        <f>G3/G$7</f>
        <v>0.82237982417074496</v>
      </c>
    </row>
    <row r="4" spans="1:8" x14ac:dyDescent="0.25">
      <c r="B4" t="s">
        <v>13</v>
      </c>
      <c r="C4" s="38"/>
      <c r="D4" s="38"/>
      <c r="E4" s="38"/>
      <c r="F4" s="38"/>
      <c r="G4" s="38">
        <f>'Consumption Calculation'!AW29</f>
        <v>2.898047788</v>
      </c>
      <c r="H4" s="42">
        <f t="shared" ref="H4:H5" si="0">G4/G$7</f>
        <v>1.4579116542062903E-2</v>
      </c>
    </row>
    <row r="5" spans="1:8" x14ac:dyDescent="0.25">
      <c r="B5" t="s">
        <v>14</v>
      </c>
      <c r="C5" s="38"/>
      <c r="D5" s="38"/>
      <c r="E5" s="38"/>
      <c r="F5" s="38"/>
      <c r="G5" s="38">
        <f>'Consumption Calculation'!AW38</f>
        <v>32.409424800000018</v>
      </c>
      <c r="H5" s="42">
        <f t="shared" si="0"/>
        <v>0.16304105928719209</v>
      </c>
    </row>
    <row r="6" spans="1:8" x14ac:dyDescent="0.25">
      <c r="B6" t="s">
        <v>24</v>
      </c>
      <c r="C6" s="38">
        <f>'Consumption Calculation'!AS11</f>
        <v>234.48482811276432</v>
      </c>
      <c r="D6" s="38">
        <f>'Consumption Calculation'!AT11</f>
        <v>215.77905207517625</v>
      </c>
      <c r="E6" s="38">
        <f>'Consumption Calculation'!AU11</f>
        <v>176.74008392798811</v>
      </c>
      <c r="F6" s="38">
        <f>'Consumption Calculation'!AV11</f>
        <v>218.23000000000002</v>
      </c>
      <c r="G6" s="38"/>
    </row>
    <row r="7" spans="1:8" x14ac:dyDescent="0.25">
      <c r="B7" t="s">
        <v>25</v>
      </c>
      <c r="C7" s="38">
        <f>SUM(C3:C6)</f>
        <v>234.48482811276432</v>
      </c>
      <c r="D7" s="38">
        <f t="shared" ref="D7:G7" si="1">SUM(D3:D6)</f>
        <v>215.77905207517625</v>
      </c>
      <c r="E7" s="38">
        <f t="shared" si="1"/>
        <v>176.74008392798811</v>
      </c>
      <c r="F7" s="38">
        <f t="shared" si="1"/>
        <v>218.23000000000002</v>
      </c>
      <c r="G7" s="38">
        <f t="shared" si="1"/>
        <v>198.78075462519999</v>
      </c>
    </row>
    <row r="8" spans="1:8" x14ac:dyDescent="0.25">
      <c r="B8" s="41" t="s">
        <v>35</v>
      </c>
      <c r="C8" s="40">
        <f>C7/'Cons chart tonnes'!C7*10^6</f>
        <v>2515.6528049279982</v>
      </c>
      <c r="D8" s="40">
        <f>D7/'Cons chart tonnes'!D7*10^6</f>
        <v>2389.8804110370502</v>
      </c>
      <c r="E8" s="40">
        <f>E7/'Cons chart tonnes'!E7*10^6</f>
        <v>2340.2798979253416</v>
      </c>
      <c r="F8" s="40">
        <f>F7/'Cons chart tonnes'!F7*10^6</f>
        <v>2351.9947767458711</v>
      </c>
      <c r="G8" s="40">
        <f>G7/'Cons chart tonnes'!G7*10^6</f>
        <v>2328.6918017891685</v>
      </c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F6" sqref="F6"/>
    </sheetView>
  </sheetViews>
  <sheetFormatPr defaultColWidth="11.42578125" defaultRowHeight="15" x14ac:dyDescent="0.25"/>
  <sheetData>
    <row r="1" spans="1:8" x14ac:dyDescent="0.25">
      <c r="A1" t="s">
        <v>34</v>
      </c>
    </row>
    <row r="2" spans="1:8" x14ac:dyDescent="0.25">
      <c r="C2">
        <v>2007</v>
      </c>
      <c r="D2">
        <v>2008</v>
      </c>
      <c r="E2">
        <v>2009</v>
      </c>
      <c r="F2">
        <v>2010</v>
      </c>
      <c r="G2">
        <v>2011</v>
      </c>
    </row>
    <row r="3" spans="1:8" x14ac:dyDescent="0.25">
      <c r="B3" t="s">
        <v>12</v>
      </c>
      <c r="C3" s="39"/>
      <c r="D3" s="39"/>
      <c r="E3" s="39"/>
      <c r="F3" s="39"/>
      <c r="G3" s="39">
        <f>'Consumption Calculation'!BI20</f>
        <v>83601.249941999995</v>
      </c>
      <c r="H3" s="42">
        <f>G3/G$7</f>
        <v>0.97937823873510077</v>
      </c>
    </row>
    <row r="4" spans="1:8" x14ac:dyDescent="0.25">
      <c r="B4" t="s">
        <v>13</v>
      </c>
      <c r="C4" s="39"/>
      <c r="D4" s="39"/>
      <c r="E4" s="39"/>
      <c r="F4" s="39"/>
      <c r="G4" s="39">
        <f>'Consumption Calculation'!BI29</f>
        <v>300.42162000000002</v>
      </c>
      <c r="H4" s="42">
        <f t="shared" ref="H4:H5" si="0">G4/G$7</f>
        <v>3.5194018902548834E-3</v>
      </c>
    </row>
    <row r="5" spans="1:8" x14ac:dyDescent="0.25">
      <c r="B5" t="s">
        <v>14</v>
      </c>
      <c r="C5" s="39"/>
      <c r="D5" s="39"/>
      <c r="E5" s="39"/>
      <c r="F5" s="39"/>
      <c r="G5" s="39">
        <f>'Consumption Calculation'!BI38</f>
        <v>1459.8840000000005</v>
      </c>
      <c r="H5" s="42">
        <f t="shared" si="0"/>
        <v>1.7102359374644414E-2</v>
      </c>
    </row>
    <row r="6" spans="1:8" x14ac:dyDescent="0.25">
      <c r="B6" t="s">
        <v>24</v>
      </c>
      <c r="C6" s="39">
        <f>'Consumption Calculation'!BE11</f>
        <v>93210.33</v>
      </c>
      <c r="D6" s="39">
        <f>'Consumption Calculation'!BF11</f>
        <v>90288.639999999999</v>
      </c>
      <c r="E6" s="39">
        <f>'Consumption Calculation'!BG11</f>
        <v>75520.916999999972</v>
      </c>
      <c r="F6" s="39">
        <f>'Consumption Calculation'!BH11</f>
        <v>92785.069999999992</v>
      </c>
      <c r="G6" s="39"/>
    </row>
    <row r="7" spans="1:8" x14ac:dyDescent="0.25">
      <c r="B7" t="s">
        <v>25</v>
      </c>
      <c r="C7" s="39">
        <f>SUM(C3:C6)</f>
        <v>93210.33</v>
      </c>
      <c r="D7" s="39">
        <f t="shared" ref="D7:G7" si="1">SUM(D3:D6)</f>
        <v>90288.639999999999</v>
      </c>
      <c r="E7" s="39">
        <f t="shared" si="1"/>
        <v>75520.916999999972</v>
      </c>
      <c r="F7" s="39">
        <f t="shared" si="1"/>
        <v>92785.069999999992</v>
      </c>
      <c r="G7" s="39">
        <f t="shared" si="1"/>
        <v>85361.555561999994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Consumption Calculation</vt:lpstr>
      <vt:lpstr>C_P_I_E chart GWP TAR</vt:lpstr>
      <vt:lpstr>Cons chart GWP FAR</vt:lpstr>
      <vt:lpstr>Cons chart GWP TAR</vt:lpstr>
      <vt:lpstr>Cons chart tonnes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Wolfram Joerss</dc:creator>
  <cp:lastModifiedBy>Carsten Iversen</cp:lastModifiedBy>
  <dcterms:created xsi:type="dcterms:W3CDTF">2012-09-10T12:42:50Z</dcterms:created>
  <dcterms:modified xsi:type="dcterms:W3CDTF">2013-02-21T09:44:58Z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1911410522</vt:i4>
  </property>
  <property fmtid="{D5CDD505-2E9C-101B-9397-08002B2CF9AE}" pid="3" name="_NewReviewCycle">
    <vt:lpwstr/>
  </property>
  <property fmtid="{D5CDD505-2E9C-101B-9397-08002B2CF9AE}" pid="4" name="_EmailSubject">
    <vt:lpwstr>Files on F-gases</vt:lpwstr>
  </property>
  <property fmtid="{D5CDD505-2E9C-101B-9397-08002B2CF9AE}" pid="5" name="_AuthorEmail">
    <vt:lpwstr>Spyridoula.Ntemiri@eea.europa.eu</vt:lpwstr>
  </property>
  <property fmtid="{D5CDD505-2E9C-101B-9397-08002B2CF9AE}" pid="6" name="_AuthorEmailDisplayName">
    <vt:lpwstr>Spyridoula Ntemiri</vt:lpwstr>
  </property>
  <property fmtid="{D5CDD505-2E9C-101B-9397-08002B2CF9AE}" pid="7" name="_ReviewingToolsShownOnce">
    <vt:lpwstr/>
  </property>
</Properties>
</file>